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4" documentId="8_{F1361BD7-D904-424D-BFD6-486DDD7D35A3}" xr6:coauthVersionLast="47" xr6:coauthVersionMax="47" xr10:uidLastSave="{5FD6E3B9-0C02-456F-9D1E-E2EC741D1441}"/>
  <bookViews>
    <workbookView xWindow="-108" yWindow="-108" windowWidth="23256" windowHeight="12456" tabRatio="773" xr2:uid="{00000000-000D-0000-FFFF-FFFF00000000}"/>
  </bookViews>
  <sheets>
    <sheet name="AKTUÁLNÍ ZI" sheetId="69" r:id="rId1"/>
  </sheets>
  <definedNames>
    <definedName name="_xlnm._FilterDatabase" localSheetId="0" hidden="1">'AKTUÁLNÍ ZI'!$A$4:$AF$294</definedName>
    <definedName name="_xlnm.Print_Titles" localSheetId="0">'AKTUÁLNÍ ZI'!$1:$4</definedName>
    <definedName name="_xlnm.Print_Area" localSheetId="0">'AKTUÁLNÍ ZI'!$A$1:$AF$295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1" i="69" l="1"/>
  <c r="I281" i="69"/>
  <c r="J278" i="69"/>
  <c r="I278" i="69"/>
  <c r="J271" i="69"/>
  <c r="I271" i="69"/>
  <c r="J269" i="69"/>
  <c r="I269" i="69"/>
  <c r="J233" i="69"/>
  <c r="I233" i="69"/>
  <c r="J229" i="69"/>
  <c r="I229" i="69"/>
  <c r="J225" i="69"/>
  <c r="I225" i="69"/>
  <c r="J219" i="69"/>
  <c r="I219" i="69"/>
  <c r="J217" i="69"/>
  <c r="I217" i="69"/>
  <c r="J213" i="69"/>
  <c r="I213" i="69"/>
  <c r="J167" i="69"/>
  <c r="I167" i="69"/>
  <c r="J127" i="69"/>
  <c r="I127" i="69"/>
  <c r="J21" i="69"/>
  <c r="I21" i="69"/>
  <c r="J13" i="69"/>
  <c r="I13" i="69"/>
  <c r="G252" i="69"/>
  <c r="N214" i="69"/>
  <c r="G214" i="69"/>
  <c r="N257" i="69" l="1"/>
  <c r="G257" i="69"/>
  <c r="P231" i="69"/>
  <c r="N231" i="69"/>
  <c r="N203" i="69"/>
  <c r="G203" i="69"/>
  <c r="P107" i="69"/>
  <c r="N107" i="69"/>
  <c r="O124" i="69" l="1"/>
  <c r="L124" i="69" s="1"/>
  <c r="O123" i="69"/>
  <c r="L123" i="69" s="1"/>
  <c r="O122" i="69"/>
  <c r="L122" i="69" s="1"/>
  <c r="O121" i="69"/>
  <c r="L121" i="69" s="1"/>
  <c r="O120" i="69"/>
  <c r="L120" i="69" s="1"/>
  <c r="O119" i="69"/>
  <c r="L119" i="69" s="1"/>
  <c r="O118" i="69"/>
  <c r="L118" i="69" s="1"/>
  <c r="O117" i="69"/>
  <c r="L117" i="69" s="1"/>
  <c r="O116" i="69"/>
  <c r="L116" i="69" s="1"/>
  <c r="P115" i="69"/>
  <c r="O115" i="69"/>
  <c r="L115" i="69" s="1"/>
  <c r="O114" i="69"/>
  <c r="L114" i="69" s="1"/>
  <c r="O113" i="69"/>
  <c r="L113" i="69" s="1"/>
  <c r="O112" i="69"/>
  <c r="L112" i="69" s="1"/>
  <c r="O111" i="69"/>
  <c r="L111" i="69" s="1"/>
  <c r="O110" i="69"/>
  <c r="L110" i="69" s="1"/>
  <c r="O109" i="69"/>
  <c r="L109" i="69" s="1"/>
  <c r="O108" i="69"/>
  <c r="L108" i="69" s="1"/>
  <c r="O107" i="69"/>
  <c r="L107" i="69" s="1"/>
  <c r="O106" i="69"/>
  <c r="L106" i="69" s="1"/>
  <c r="G106" i="69"/>
  <c r="P105" i="69"/>
  <c r="O105" i="69"/>
  <c r="L105" i="69" s="1"/>
  <c r="O104" i="69"/>
  <c r="L104" i="69" s="1"/>
  <c r="O103" i="69"/>
  <c r="L103" i="69" s="1"/>
  <c r="O102" i="69"/>
  <c r="L102" i="69" s="1"/>
  <c r="O101" i="69"/>
  <c r="L101" i="69" s="1"/>
  <c r="O100" i="69"/>
  <c r="L100" i="69" s="1"/>
  <c r="G100" i="69"/>
  <c r="S99" i="69"/>
  <c r="O99" i="69"/>
  <c r="L99" i="69" s="1"/>
  <c r="P98" i="69"/>
  <c r="O98" i="69"/>
  <c r="L98" i="69" s="1"/>
  <c r="G98" i="69"/>
  <c r="O97" i="69"/>
  <c r="L97" i="69" s="1"/>
  <c r="P96" i="69"/>
  <c r="O96" i="69"/>
  <c r="L96" i="69" s="1"/>
  <c r="P95" i="69"/>
  <c r="O95" i="69"/>
  <c r="L95" i="69" s="1"/>
  <c r="O94" i="69"/>
  <c r="L94" i="69" s="1"/>
  <c r="G94" i="69"/>
  <c r="O93" i="69"/>
  <c r="L93" i="69" s="1"/>
  <c r="P92" i="69"/>
  <c r="O92" i="69"/>
  <c r="L92" i="69" s="1"/>
  <c r="P91" i="69"/>
  <c r="O91" i="69"/>
  <c r="L91" i="69" s="1"/>
  <c r="O90" i="69"/>
  <c r="L90" i="69" s="1"/>
  <c r="P89" i="69"/>
  <c r="O89" i="69"/>
  <c r="L89" i="69" s="1"/>
  <c r="P88" i="69"/>
  <c r="O88" i="69"/>
  <c r="L88" i="69" s="1"/>
  <c r="O87" i="69"/>
  <c r="L87" i="69" s="1"/>
  <c r="P86" i="69"/>
  <c r="O86" i="69"/>
  <c r="L86" i="69" s="1"/>
  <c r="O85" i="69"/>
  <c r="L85" i="69" s="1"/>
  <c r="O84" i="69"/>
  <c r="L84" i="69" s="1"/>
  <c r="P83" i="69"/>
  <c r="O83" i="69"/>
  <c r="L83" i="69" s="1"/>
  <c r="O82" i="69"/>
  <c r="L82" i="69" s="1"/>
  <c r="Q81" i="69"/>
  <c r="O81" i="69"/>
  <c r="L81" i="69" s="1"/>
  <c r="G81" i="69"/>
  <c r="O80" i="69"/>
  <c r="L80" i="69" s="1"/>
  <c r="G80" i="69"/>
  <c r="O79" i="69"/>
  <c r="L79" i="69" s="1"/>
  <c r="G79" i="69"/>
  <c r="O78" i="69"/>
  <c r="L78" i="69" s="1"/>
  <c r="G78" i="69"/>
  <c r="O77" i="69"/>
  <c r="L77" i="69" s="1"/>
  <c r="O76" i="69"/>
  <c r="L76" i="69" s="1"/>
  <c r="O75" i="69"/>
  <c r="L75" i="69" s="1"/>
  <c r="G75" i="69"/>
  <c r="O74" i="69"/>
  <c r="G74" i="69"/>
  <c r="P73" i="69"/>
  <c r="O73" i="69"/>
  <c r="L73" i="69" s="1"/>
  <c r="O72" i="69"/>
  <c r="L72" i="69" s="1"/>
  <c r="P71" i="69"/>
  <c r="O71" i="69"/>
  <c r="L71" i="69" s="1"/>
  <c r="O70" i="69"/>
  <c r="L70" i="69" s="1"/>
  <c r="G70" i="69"/>
  <c r="P69" i="69"/>
  <c r="O69" i="69"/>
  <c r="L69" i="69" s="1"/>
  <c r="P68" i="69"/>
  <c r="O68" i="69"/>
  <c r="L68" i="69" s="1"/>
  <c r="O67" i="69"/>
  <c r="L67" i="69" s="1"/>
  <c r="P66" i="69"/>
  <c r="O66" i="69"/>
  <c r="L66" i="69" s="1"/>
  <c r="O65" i="69"/>
  <c r="L65" i="69" s="1"/>
  <c r="O64" i="69"/>
  <c r="L64" i="69" s="1"/>
  <c r="O63" i="69"/>
  <c r="L63" i="69" s="1"/>
  <c r="O62" i="69"/>
  <c r="L62" i="69" s="1"/>
  <c r="G62" i="69"/>
  <c r="O61" i="69"/>
  <c r="L61" i="69" s="1"/>
  <c r="O60" i="69"/>
  <c r="L60" i="69" s="1"/>
  <c r="G60" i="69"/>
  <c r="O59" i="69"/>
  <c r="L59" i="69" s="1"/>
  <c r="G59" i="69"/>
  <c r="P58" i="69"/>
  <c r="O58" i="69"/>
  <c r="L58" i="69" s="1"/>
  <c r="G58" i="69"/>
  <c r="O57" i="69"/>
  <c r="L57" i="69" s="1"/>
  <c r="G57" i="69"/>
  <c r="O56" i="69"/>
  <c r="L56" i="69" s="1"/>
  <c r="G56" i="69"/>
  <c r="O55" i="69"/>
  <c r="L55" i="69" s="1"/>
  <c r="G55" i="69"/>
  <c r="O54" i="69"/>
  <c r="L54" i="69" s="1"/>
  <c r="G54" i="69"/>
  <c r="O53" i="69"/>
  <c r="L53" i="69" s="1"/>
  <c r="G53" i="69"/>
  <c r="O52" i="69"/>
  <c r="L52" i="69" s="1"/>
  <c r="G52" i="69"/>
  <c r="O51" i="69"/>
  <c r="L51" i="69" s="1"/>
  <c r="G51" i="69"/>
  <c r="O50" i="69"/>
  <c r="L50" i="69" s="1"/>
  <c r="G50" i="69"/>
  <c r="P49" i="69"/>
  <c r="N49" i="69"/>
  <c r="O49" i="69" s="1"/>
  <c r="L49" i="69" s="1"/>
  <c r="G49" i="69"/>
  <c r="N48" i="69"/>
  <c r="O48" i="69" s="1"/>
  <c r="L48" i="69" s="1"/>
  <c r="G48" i="69"/>
  <c r="N47" i="69"/>
  <c r="O47" i="69" s="1"/>
  <c r="L47" i="69" s="1"/>
  <c r="G47" i="69"/>
  <c r="O46" i="69"/>
  <c r="L46" i="69" s="1"/>
  <c r="G46" i="69"/>
  <c r="P45" i="69"/>
  <c r="O45" i="69"/>
  <c r="L45" i="69" s="1"/>
  <c r="G45" i="69"/>
  <c r="O44" i="69"/>
  <c r="L44" i="69" s="1"/>
  <c r="G44" i="69"/>
  <c r="O43" i="69"/>
  <c r="L43" i="69" s="1"/>
  <c r="G43" i="69"/>
  <c r="P42" i="69"/>
  <c r="O42" i="69"/>
  <c r="L42" i="69" s="1"/>
  <c r="O41" i="69"/>
  <c r="L41" i="69" s="1"/>
  <c r="G41" i="69"/>
  <c r="X40" i="69"/>
  <c r="W40" i="69"/>
  <c r="U40" i="69"/>
  <c r="O40" i="69"/>
  <c r="L40" i="69" s="1"/>
  <c r="G40" i="69"/>
  <c r="O39" i="69"/>
  <c r="L39" i="69" s="1"/>
  <c r="G39" i="69"/>
  <c r="O38" i="69"/>
  <c r="L38" i="69" s="1"/>
  <c r="G38" i="69"/>
  <c r="O37" i="69"/>
  <c r="L37" i="69" s="1"/>
  <c r="G37" i="69"/>
  <c r="O36" i="69"/>
  <c r="L36" i="69" s="1"/>
  <c r="G36" i="69"/>
  <c r="N35" i="69"/>
  <c r="O35" i="69" s="1"/>
  <c r="L35" i="69" s="1"/>
  <c r="H35" i="69"/>
  <c r="G35" i="69"/>
  <c r="O34" i="69"/>
  <c r="L34" i="69" s="1"/>
  <c r="G34" i="69"/>
  <c r="O33" i="69"/>
  <c r="L33" i="69" s="1"/>
  <c r="G33" i="69"/>
  <c r="O32" i="69"/>
  <c r="L32" i="69" s="1"/>
  <c r="N31" i="69"/>
  <c r="O31" i="69" s="1"/>
  <c r="L31" i="69" s="1"/>
  <c r="G31" i="69"/>
  <c r="O30" i="69"/>
  <c r="L30" i="69" s="1"/>
  <c r="G30" i="69"/>
  <c r="P29" i="69"/>
  <c r="O29" i="69"/>
  <c r="L29" i="69" s="1"/>
  <c r="Q28" i="69"/>
  <c r="O28" i="69"/>
  <c r="L28" i="69" s="1"/>
  <c r="O27" i="69"/>
  <c r="L27" i="69" s="1"/>
  <c r="P26" i="69"/>
  <c r="O26" i="69"/>
  <c r="O25" i="69"/>
  <c r="L25" i="69" s="1"/>
  <c r="O24" i="69"/>
  <c r="L24" i="69" s="1"/>
  <c r="G24" i="69"/>
  <c r="O23" i="69"/>
  <c r="L23" i="69" s="1"/>
  <c r="G23" i="69"/>
  <c r="Q22" i="69"/>
  <c r="O22" i="69"/>
  <c r="L22" i="69" s="1"/>
  <c r="G22" i="69"/>
  <c r="O5" i="69"/>
  <c r="O6" i="69"/>
  <c r="O7" i="69"/>
  <c r="O8" i="69"/>
  <c r="G9" i="69"/>
  <c r="O9" i="69"/>
  <c r="O10" i="69"/>
  <c r="H13" i="69"/>
  <c r="M13" i="69"/>
  <c r="N13" i="69"/>
  <c r="P13" i="69"/>
  <c r="Q13" i="69"/>
  <c r="R13" i="69"/>
  <c r="S13" i="69"/>
  <c r="T13" i="69"/>
  <c r="U13" i="69"/>
  <c r="V13" i="69"/>
  <c r="W13" i="69"/>
  <c r="X13" i="69"/>
  <c r="Y13" i="69"/>
  <c r="G14" i="69"/>
  <c r="O14" i="69"/>
  <c r="G15" i="69"/>
  <c r="O15" i="69"/>
  <c r="P15" i="69"/>
  <c r="P21" i="69" s="1"/>
  <c r="G16" i="69"/>
  <c r="O16" i="69"/>
  <c r="G17" i="69"/>
  <c r="O17" i="69"/>
  <c r="G18" i="69"/>
  <c r="O18" i="69"/>
  <c r="O19" i="69"/>
  <c r="H21" i="69"/>
  <c r="K21" i="69"/>
  <c r="M21" i="69"/>
  <c r="N21" i="69"/>
  <c r="Q21" i="69"/>
  <c r="R21" i="69"/>
  <c r="S21" i="69"/>
  <c r="T21" i="69"/>
  <c r="U21" i="69"/>
  <c r="V21" i="69"/>
  <c r="W21" i="69"/>
  <c r="X21" i="69"/>
  <c r="Y21" i="69"/>
  <c r="N281" i="69"/>
  <c r="M281" i="69"/>
  <c r="L281" i="69"/>
  <c r="K281" i="69"/>
  <c r="H281" i="69"/>
  <c r="M278" i="69"/>
  <c r="K278" i="69"/>
  <c r="H278" i="69"/>
  <c r="N271" i="69"/>
  <c r="M271" i="69"/>
  <c r="K271" i="69"/>
  <c r="H271" i="69"/>
  <c r="M269" i="69"/>
  <c r="H269" i="69"/>
  <c r="N233" i="69"/>
  <c r="M233" i="69"/>
  <c r="K233" i="69"/>
  <c r="H233" i="69"/>
  <c r="N229" i="69"/>
  <c r="M229" i="69"/>
  <c r="K229" i="69"/>
  <c r="H229" i="69"/>
  <c r="N225" i="69"/>
  <c r="M225" i="69"/>
  <c r="K225" i="69"/>
  <c r="H225" i="69"/>
  <c r="N219" i="69"/>
  <c r="M219" i="69"/>
  <c r="K219" i="69"/>
  <c r="H219" i="69"/>
  <c r="N217" i="69"/>
  <c r="M217" i="69"/>
  <c r="K217" i="69"/>
  <c r="H217" i="69"/>
  <c r="N213" i="69"/>
  <c r="M213" i="69"/>
  <c r="H213" i="69"/>
  <c r="N167" i="69"/>
  <c r="M167" i="69"/>
  <c r="H167" i="69"/>
  <c r="K127" i="69"/>
  <c r="L26" i="69" l="1"/>
  <c r="L74" i="69"/>
  <c r="N127" i="69"/>
  <c r="O13" i="69"/>
  <c r="L7" i="69"/>
  <c r="L14" i="69"/>
  <c r="K13" i="69"/>
  <c r="L6" i="69"/>
  <c r="O21" i="69"/>
  <c r="G21" i="69"/>
  <c r="L5" i="69"/>
  <c r="L9" i="69"/>
  <c r="L15" i="69"/>
  <c r="L18" i="69"/>
  <c r="L16" i="69"/>
  <c r="L8" i="69"/>
  <c r="L19" i="69"/>
  <c r="L17" i="69"/>
  <c r="G13" i="69"/>
  <c r="M127" i="69"/>
  <c r="M282" i="69" s="1"/>
  <c r="O231" i="69"/>
  <c r="L231" i="69" s="1"/>
  <c r="O230" i="69"/>
  <c r="L230" i="69" s="1"/>
  <c r="L13" i="69" l="1"/>
  <c r="L21" i="69"/>
  <c r="H127" i="69"/>
  <c r="H282" i="69" s="1"/>
  <c r="L233" i="69"/>
  <c r="J282" i="69" l="1"/>
  <c r="O211" i="69" l="1"/>
  <c r="L211" i="69" s="1"/>
  <c r="O210" i="69"/>
  <c r="L210" i="69" s="1"/>
  <c r="G210" i="69"/>
  <c r="O209" i="69"/>
  <c r="L209" i="69" s="1"/>
  <c r="O208" i="69"/>
  <c r="L208" i="69" s="1"/>
  <c r="K213" i="69"/>
  <c r="O207" i="69"/>
  <c r="L207" i="69" s="1"/>
  <c r="O206" i="69"/>
  <c r="L206" i="69" s="1"/>
  <c r="O205" i="69"/>
  <c r="L205" i="69" s="1"/>
  <c r="O204" i="69"/>
  <c r="L204" i="69" s="1"/>
  <c r="O203" i="69"/>
  <c r="L203" i="69" s="1"/>
  <c r="O202" i="69"/>
  <c r="L202" i="69" s="1"/>
  <c r="O201" i="69"/>
  <c r="L201" i="69" s="1"/>
  <c r="O200" i="69"/>
  <c r="L200" i="69" s="1"/>
  <c r="O199" i="69"/>
  <c r="L199" i="69" s="1"/>
  <c r="O198" i="69"/>
  <c r="L198" i="69" s="1"/>
  <c r="O197" i="69"/>
  <c r="L197" i="69" s="1"/>
  <c r="O196" i="69"/>
  <c r="L196" i="69" s="1"/>
  <c r="O195" i="69"/>
  <c r="L195" i="69" s="1"/>
  <c r="O194" i="69"/>
  <c r="L194" i="69" s="1"/>
  <c r="O193" i="69"/>
  <c r="L193" i="69" s="1"/>
  <c r="O192" i="69"/>
  <c r="L192" i="69" s="1"/>
  <c r="O191" i="69"/>
  <c r="L191" i="69" s="1"/>
  <c r="O190" i="69"/>
  <c r="L190" i="69" s="1"/>
  <c r="O189" i="69"/>
  <c r="L189" i="69" s="1"/>
  <c r="O188" i="69"/>
  <c r="L188" i="69" s="1"/>
  <c r="O187" i="69"/>
  <c r="L187" i="69" s="1"/>
  <c r="O186" i="69"/>
  <c r="L186" i="69" s="1"/>
  <c r="O185" i="69"/>
  <c r="L185" i="69" s="1"/>
  <c r="O184" i="69"/>
  <c r="L184" i="69" s="1"/>
  <c r="O183" i="69"/>
  <c r="L183" i="69" s="1"/>
  <c r="O182" i="69"/>
  <c r="L182" i="69" s="1"/>
  <c r="O181" i="69"/>
  <c r="L181" i="69" s="1"/>
  <c r="O180" i="69"/>
  <c r="L180" i="69" s="1"/>
  <c r="O179" i="69"/>
  <c r="L179" i="69" s="1"/>
  <c r="O178" i="69"/>
  <c r="L178" i="69" s="1"/>
  <c r="O177" i="69"/>
  <c r="L177" i="69" s="1"/>
  <c r="O176" i="69"/>
  <c r="L176" i="69" s="1"/>
  <c r="O175" i="69"/>
  <c r="L175" i="69" s="1"/>
  <c r="O174" i="69"/>
  <c r="L174" i="69" s="1"/>
  <c r="O173" i="69"/>
  <c r="L173" i="69" s="1"/>
  <c r="G173" i="69"/>
  <c r="O172" i="69"/>
  <c r="L172" i="69" s="1"/>
  <c r="O171" i="69"/>
  <c r="L171" i="69" s="1"/>
  <c r="O170" i="69"/>
  <c r="L170" i="69" s="1"/>
  <c r="G170" i="69"/>
  <c r="Q169" i="69"/>
  <c r="O169" i="69"/>
  <c r="L169" i="69" s="1"/>
  <c r="O168" i="69"/>
  <c r="L168" i="69" s="1"/>
  <c r="R213" i="69"/>
  <c r="S213" i="69"/>
  <c r="T213" i="69"/>
  <c r="U213" i="69"/>
  <c r="V213" i="69"/>
  <c r="W213" i="69"/>
  <c r="X213" i="69"/>
  <c r="Y213" i="69"/>
  <c r="P213" i="69" l="1"/>
  <c r="Q170" i="69"/>
  <c r="Q210" i="69"/>
  <c r="G213" i="69"/>
  <c r="L213" i="69"/>
  <c r="O213" i="69"/>
  <c r="Q213" i="69" l="1"/>
  <c r="O165" i="69" l="1"/>
  <c r="L165" i="69" s="1"/>
  <c r="O164" i="69"/>
  <c r="L164" i="69" s="1"/>
  <c r="O163" i="69"/>
  <c r="L163" i="69" s="1"/>
  <c r="O162" i="69"/>
  <c r="L162" i="69" s="1"/>
  <c r="O161" i="69"/>
  <c r="L161" i="69" s="1"/>
  <c r="O160" i="69"/>
  <c r="L160" i="69" s="1"/>
  <c r="P159" i="69"/>
  <c r="O159" i="69"/>
  <c r="L159" i="69" s="1"/>
  <c r="G159" i="69"/>
  <c r="O158" i="69"/>
  <c r="L158" i="69" s="1"/>
  <c r="O157" i="69"/>
  <c r="L157" i="69" s="1"/>
  <c r="O156" i="69"/>
  <c r="L156" i="69" s="1"/>
  <c r="O155" i="69"/>
  <c r="L155" i="69" s="1"/>
  <c r="O154" i="69"/>
  <c r="L154" i="69" s="1"/>
  <c r="O153" i="69"/>
  <c r="L153" i="69" s="1"/>
  <c r="O152" i="69"/>
  <c r="L152" i="69" s="1"/>
  <c r="O151" i="69"/>
  <c r="L151" i="69" s="1"/>
  <c r="O150" i="69"/>
  <c r="L150" i="69" s="1"/>
  <c r="K167" i="69"/>
  <c r="O149" i="69"/>
  <c r="L149" i="69" s="1"/>
  <c r="G149" i="69"/>
  <c r="O148" i="69"/>
  <c r="L148" i="69" s="1"/>
  <c r="O147" i="69"/>
  <c r="L147" i="69" s="1"/>
  <c r="G147" i="69"/>
  <c r="O146" i="69"/>
  <c r="L146" i="69" s="1"/>
  <c r="O145" i="69"/>
  <c r="L145" i="69" s="1"/>
  <c r="O144" i="69"/>
  <c r="L144" i="69" s="1"/>
  <c r="G144" i="69"/>
  <c r="O143" i="69"/>
  <c r="L143" i="69" s="1"/>
  <c r="O142" i="69"/>
  <c r="L142" i="69" s="1"/>
  <c r="O141" i="69"/>
  <c r="L141" i="69" s="1"/>
  <c r="O140" i="69"/>
  <c r="L140" i="69" s="1"/>
  <c r="O139" i="69"/>
  <c r="L139" i="69" s="1"/>
  <c r="O138" i="69"/>
  <c r="L138" i="69" s="1"/>
  <c r="O137" i="69"/>
  <c r="L137" i="69" s="1"/>
  <c r="O136" i="69"/>
  <c r="L136" i="69" s="1"/>
  <c r="O135" i="69"/>
  <c r="L135" i="69" s="1"/>
  <c r="O134" i="69"/>
  <c r="L134" i="69" s="1"/>
  <c r="O133" i="69"/>
  <c r="L133" i="69" s="1"/>
  <c r="G133" i="69"/>
  <c r="O132" i="69"/>
  <c r="L132" i="69" s="1"/>
  <c r="O131" i="69"/>
  <c r="L131" i="69" s="1"/>
  <c r="O130" i="69"/>
  <c r="L130" i="69" s="1"/>
  <c r="O129" i="69"/>
  <c r="L129" i="69" s="1"/>
  <c r="G129" i="69"/>
  <c r="O128" i="69"/>
  <c r="L128" i="69" s="1"/>
  <c r="L167" i="69" l="1"/>
  <c r="L127" i="69" l="1"/>
  <c r="O215" i="69" l="1"/>
  <c r="L215" i="69" s="1"/>
  <c r="O214" i="69"/>
  <c r="L214" i="69" s="1"/>
  <c r="L217" i="69" l="1"/>
  <c r="O267" i="69"/>
  <c r="L267" i="69" s="1"/>
  <c r="O266" i="69"/>
  <c r="L266" i="69" s="1"/>
  <c r="O265" i="69"/>
  <c r="L265" i="69" s="1"/>
  <c r="O264" i="69"/>
  <c r="L264" i="69" s="1"/>
  <c r="O263" i="69"/>
  <c r="L263" i="69" s="1"/>
  <c r="O262" i="69"/>
  <c r="L262" i="69" s="1"/>
  <c r="O261" i="69"/>
  <c r="L261" i="69" s="1"/>
  <c r="O260" i="69"/>
  <c r="L260" i="69" s="1"/>
  <c r="O259" i="69"/>
  <c r="L259" i="69" s="1"/>
  <c r="O258" i="69"/>
  <c r="L258" i="69" s="1"/>
  <c r="O257" i="69"/>
  <c r="L257" i="69" s="1"/>
  <c r="O256" i="69"/>
  <c r="L256" i="69" s="1"/>
  <c r="O255" i="69"/>
  <c r="L255" i="69" s="1"/>
  <c r="G255" i="69"/>
  <c r="O254" i="69"/>
  <c r="L254" i="69" s="1"/>
  <c r="G254" i="69"/>
  <c r="O253" i="69"/>
  <c r="L253" i="69" s="1"/>
  <c r="G253" i="69"/>
  <c r="O252" i="69"/>
  <c r="L252" i="69" s="1"/>
  <c r="O251" i="69"/>
  <c r="L251" i="69" s="1"/>
  <c r="O250" i="69"/>
  <c r="O249" i="69"/>
  <c r="L249" i="69" s="1"/>
  <c r="G249" i="69"/>
  <c r="O248" i="69"/>
  <c r="L248" i="69" s="1"/>
  <c r="G248" i="69"/>
  <c r="O247" i="69"/>
  <c r="L247" i="69" s="1"/>
  <c r="G247" i="69"/>
  <c r="O246" i="69"/>
  <c r="L246" i="69" s="1"/>
  <c r="G246" i="69"/>
  <c r="P245" i="69"/>
  <c r="N245" i="69"/>
  <c r="K269" i="69"/>
  <c r="K282" i="69" s="1"/>
  <c r="O244" i="69"/>
  <c r="L244" i="69" s="1"/>
  <c r="G244" i="69"/>
  <c r="O243" i="69"/>
  <c r="L243" i="69" s="1"/>
  <c r="O242" i="69"/>
  <c r="L242" i="69" s="1"/>
  <c r="G242" i="69"/>
  <c r="O241" i="69"/>
  <c r="L241" i="69" s="1"/>
  <c r="O240" i="69"/>
  <c r="L240" i="69" s="1"/>
  <c r="G240" i="69"/>
  <c r="O239" i="69"/>
  <c r="L239" i="69" s="1"/>
  <c r="O238" i="69"/>
  <c r="L238" i="69" s="1"/>
  <c r="O237" i="69"/>
  <c r="L237" i="69" s="1"/>
  <c r="O236" i="69"/>
  <c r="L236" i="69" s="1"/>
  <c r="G236" i="69"/>
  <c r="O235" i="69"/>
  <c r="L235" i="69" s="1"/>
  <c r="O234" i="69"/>
  <c r="L234" i="69" s="1"/>
  <c r="O245" i="69" l="1"/>
  <c r="L245" i="69" s="1"/>
  <c r="N269" i="69"/>
  <c r="L269" i="69" l="1"/>
  <c r="O223" i="69"/>
  <c r="L223" i="69" s="1"/>
  <c r="O222" i="69"/>
  <c r="L222" i="69" s="1"/>
  <c r="O221" i="69"/>
  <c r="L221" i="69" s="1"/>
  <c r="G220" i="69"/>
  <c r="L225" i="69" l="1"/>
  <c r="O276" i="69" l="1"/>
  <c r="L276" i="69" s="1"/>
  <c r="O275" i="69"/>
  <c r="L275" i="69" s="1"/>
  <c r="O274" i="69"/>
  <c r="L274" i="69" s="1"/>
  <c r="N273" i="69"/>
  <c r="G273" i="69"/>
  <c r="O272" i="69"/>
  <c r="L272" i="69" s="1"/>
  <c r="O273" i="69" l="1"/>
  <c r="L273" i="69" s="1"/>
  <c r="L278" i="69" s="1"/>
  <c r="N278" i="69"/>
  <c r="N282" i="69" s="1"/>
  <c r="I282" i="69"/>
  <c r="L271" i="69" l="1"/>
  <c r="O227" i="69"/>
  <c r="L227" i="69" s="1"/>
  <c r="O226" i="69"/>
  <c r="L226" i="69" s="1"/>
  <c r="L229" i="69" l="1"/>
  <c r="W217" i="69"/>
  <c r="Y281" i="69"/>
  <c r="X281" i="69"/>
  <c r="W281" i="69"/>
  <c r="V281" i="69"/>
  <c r="U281" i="69"/>
  <c r="T281" i="69"/>
  <c r="S281" i="69"/>
  <c r="R281" i="69"/>
  <c r="Q281" i="69"/>
  <c r="P281" i="69"/>
  <c r="Y278" i="69"/>
  <c r="X278" i="69"/>
  <c r="W278" i="69"/>
  <c r="V278" i="69"/>
  <c r="U278" i="69"/>
  <c r="T278" i="69"/>
  <c r="S278" i="69"/>
  <c r="R278" i="69"/>
  <c r="Q278" i="69"/>
  <c r="P278" i="69"/>
  <c r="Y271" i="69"/>
  <c r="X271" i="69"/>
  <c r="W271" i="69"/>
  <c r="V271" i="69"/>
  <c r="U271" i="69"/>
  <c r="T271" i="69"/>
  <c r="S271" i="69"/>
  <c r="R271" i="69"/>
  <c r="Q271" i="69"/>
  <c r="P271" i="69"/>
  <c r="W269" i="69"/>
  <c r="V269" i="69"/>
  <c r="T269" i="69"/>
  <c r="S269" i="69"/>
  <c r="R269" i="69"/>
  <c r="Q269" i="69"/>
  <c r="P269" i="69"/>
  <c r="Y233" i="69"/>
  <c r="X233" i="69"/>
  <c r="W233" i="69"/>
  <c r="V233" i="69"/>
  <c r="U233" i="69"/>
  <c r="T233" i="69"/>
  <c r="S233" i="69"/>
  <c r="R233" i="69"/>
  <c r="Q233" i="69"/>
  <c r="P233" i="69"/>
  <c r="Y229" i="69"/>
  <c r="X229" i="69"/>
  <c r="W229" i="69"/>
  <c r="V229" i="69"/>
  <c r="U229" i="69"/>
  <c r="T229" i="69"/>
  <c r="S229" i="69"/>
  <c r="R229" i="69"/>
  <c r="Q229" i="69"/>
  <c r="P229" i="69"/>
  <c r="Y225" i="69"/>
  <c r="X225" i="69"/>
  <c r="W225" i="69"/>
  <c r="V225" i="69"/>
  <c r="U225" i="69"/>
  <c r="T225" i="69"/>
  <c r="S225" i="69"/>
  <c r="R225" i="69"/>
  <c r="Q225" i="69"/>
  <c r="P225" i="69"/>
  <c r="Y219" i="69"/>
  <c r="X219" i="69"/>
  <c r="W219" i="69"/>
  <c r="V219" i="69"/>
  <c r="U219" i="69"/>
  <c r="T219" i="69"/>
  <c r="S219" i="69"/>
  <c r="R219" i="69"/>
  <c r="Q219" i="69"/>
  <c r="P219" i="69"/>
  <c r="Y217" i="69"/>
  <c r="X217" i="69"/>
  <c r="V217" i="69"/>
  <c r="U217" i="69"/>
  <c r="T217" i="69"/>
  <c r="S217" i="69"/>
  <c r="R217" i="69"/>
  <c r="Q217" i="69"/>
  <c r="P217" i="69"/>
  <c r="Y167" i="69"/>
  <c r="X167" i="69"/>
  <c r="W167" i="69"/>
  <c r="V167" i="69"/>
  <c r="U167" i="69"/>
  <c r="T167" i="69"/>
  <c r="S167" i="69"/>
  <c r="R167" i="69"/>
  <c r="Q167" i="69"/>
  <c r="P167" i="69"/>
  <c r="Y127" i="69"/>
  <c r="V127" i="69"/>
  <c r="T127" i="69"/>
  <c r="R127" i="69"/>
  <c r="W127" i="69"/>
  <c r="O217" i="69" l="1"/>
  <c r="O167" i="69"/>
  <c r="O225" i="69"/>
  <c r="O233" i="69"/>
  <c r="O127" i="69"/>
  <c r="O271" i="69"/>
  <c r="O219" i="69"/>
  <c r="O229" i="69"/>
  <c r="O269" i="69"/>
  <c r="O278" i="69"/>
  <c r="W282" i="69"/>
  <c r="T282" i="69"/>
  <c r="R282" i="69"/>
  <c r="V282" i="69"/>
  <c r="S127" i="69" l="1"/>
  <c r="S282" i="69" s="1"/>
  <c r="Q127" i="69"/>
  <c r="Q282" i="69" s="1"/>
  <c r="Y269" i="69"/>
  <c r="Y282" i="69" s="1"/>
  <c r="X127" i="69" l="1"/>
  <c r="U127" i="69"/>
  <c r="P127" i="69"/>
  <c r="P282" i="69" l="1"/>
  <c r="X269" i="69" l="1"/>
  <c r="X282" i="69" s="1"/>
  <c r="U269" i="69"/>
  <c r="U282" i="69" s="1"/>
  <c r="O281" i="69" l="1"/>
  <c r="O282" i="69" l="1"/>
  <c r="L219" i="69" l="1"/>
  <c r="L282" i="69" s="1"/>
  <c r="G281" i="69" l="1"/>
  <c r="G278" i="69" l="1"/>
  <c r="G271" i="69"/>
  <c r="G233" i="69"/>
  <c r="G229" i="69"/>
  <c r="G225" i="69"/>
  <c r="G219" i="69"/>
  <c r="G217" i="69"/>
  <c r="G127" i="69" l="1"/>
  <c r="G167" i="69"/>
  <c r="G269" i="69"/>
  <c r="G282" i="69" l="1"/>
</calcChain>
</file>

<file path=xl/sharedStrings.xml><?xml version="1.0" encoding="utf-8"?>
<sst xmlns="http://schemas.openxmlformats.org/spreadsheetml/2006/main" count="3764" uniqueCount="1173">
  <si>
    <t>Číslo akce ADA</t>
  </si>
  <si>
    <t>Název akce</t>
  </si>
  <si>
    <t xml:space="preserve">Celkové náklady </t>
  </si>
  <si>
    <t>Jiné zdroje</t>
  </si>
  <si>
    <t>SK</t>
  </si>
  <si>
    <t>PROBÍHÁ VZ</t>
  </si>
  <si>
    <t>Výměna oken v budově KÚ</t>
  </si>
  <si>
    <t>PŘÍPRAVA VZ</t>
  </si>
  <si>
    <t>Investiční software dle konkrétních požadavků odborů</t>
  </si>
  <si>
    <t>REALIZACE</t>
  </si>
  <si>
    <t>Software pro Informační systém KÚ</t>
  </si>
  <si>
    <t>Zvýšení kybernetické bezpečnosti informačního systému KÚ</t>
  </si>
  <si>
    <t>Příprava a zabezpečení staveb silnic II. a III. třídy a drážní stavby pro lehká kolejová vozidla-tramvaje</t>
  </si>
  <si>
    <t>KSÚS</t>
  </si>
  <si>
    <t>IDSK</t>
  </si>
  <si>
    <t>Obec Postřižín - rekonstrukce povrchů komunikací včetně chodníků</t>
  </si>
  <si>
    <t>Gymnázium Říčany, Komenského 1280</t>
  </si>
  <si>
    <t>Základní škola speciální, Mladá Boleslav, Václavkova 950</t>
  </si>
  <si>
    <t>Střední odborná škola a Střední odborné učiliště, Horky nad Jizerou 35</t>
  </si>
  <si>
    <t>Vyšší odborná škola a Střední zemědělská škola, Benešov, Mendelova 131</t>
  </si>
  <si>
    <t>Základní umělecká škola Josefa Slavíka, Hořovice, Palackého náměstí 253</t>
  </si>
  <si>
    <t>BEZ VZ</t>
  </si>
  <si>
    <t>Gymnázium Joachima Barranda, Beroun, Talichova 824</t>
  </si>
  <si>
    <t>Muzeum Mladoboleslavska</t>
  </si>
  <si>
    <t>Galerie Středočeského kraje</t>
  </si>
  <si>
    <t>Rabasova galerie Rakovník</t>
  </si>
  <si>
    <t>Regionální muzeum v Kolíně</t>
  </si>
  <si>
    <t>Středočeské muzeum v Roztokách u Prahy</t>
  </si>
  <si>
    <t>Památník A. Dvořáka ve Vysoké u Příbrami</t>
  </si>
  <si>
    <t>Sbírkotvorná činnost příspěvkových organizací - rozšiřování sbírek nákupem předmětů</t>
  </si>
  <si>
    <t>Regionální muzeum v Jílovém u Prahy</t>
  </si>
  <si>
    <t>Hornické muzeum Příbram</t>
  </si>
  <si>
    <t>40/2019/KUL</t>
  </si>
  <si>
    <t>RDK</t>
  </si>
  <si>
    <t>Domov Sedlčany</t>
  </si>
  <si>
    <t>Domov seniorů Benešov</t>
  </si>
  <si>
    <t xml:space="preserve">Rekonstrukce budovy č.2 </t>
  </si>
  <si>
    <t>Domov seniorů Dobříš</t>
  </si>
  <si>
    <t>Nalžovický zámek</t>
  </si>
  <si>
    <t>Domov seniorů Nové Strašecí</t>
  </si>
  <si>
    <t xml:space="preserve"> </t>
  </si>
  <si>
    <t>akce nově zařazené</t>
  </si>
  <si>
    <t>snížení celkových nákladů na akci</t>
  </si>
  <si>
    <t>akce zrušené, ukončené</t>
  </si>
  <si>
    <t>CELKEM</t>
  </si>
  <si>
    <t>Sportovní gymnázium, Kladno, Plzeňská 3103</t>
  </si>
  <si>
    <t>Střední odborná škola informatiky a spojů a Střední odborné učiliště, Kolín, Jaselská 826</t>
  </si>
  <si>
    <t>Gymnázium a Střední odborná škola ekonomická, Sedlčany, Nádražní 90</t>
  </si>
  <si>
    <t>III/33420 Molitorov, most ev.č. 33420-1</t>
  </si>
  <si>
    <t>navýšení celkových nákladů na akci</t>
  </si>
  <si>
    <t>Domov Vraný</t>
  </si>
  <si>
    <t>102/2019/DOP</t>
  </si>
  <si>
    <t>x</t>
  </si>
  <si>
    <t>Rozvoj Rabasovy galerie Rakovník, stavební úpravy a dostavba</t>
  </si>
  <si>
    <t>*</t>
  </si>
  <si>
    <t>Realizace fyzicky začala Ano/Ne</t>
  </si>
  <si>
    <t>018-34/2018/RK ze dne 5.11.2018 128-16/2018/ZK ze dne 24.11.2018</t>
  </si>
  <si>
    <t>Průběžně</t>
  </si>
  <si>
    <t>NE</t>
  </si>
  <si>
    <t>ANO</t>
  </si>
  <si>
    <t>ZRUŠENO</t>
  </si>
  <si>
    <t>Koupě zámku v Přerově nad Labem (splátky hodnoty nemovitosti jsou naplánovány na 5 let)</t>
  </si>
  <si>
    <t>UKONČENO</t>
  </si>
  <si>
    <t>.</t>
  </si>
  <si>
    <t>018-34/2018/RK ze dne 5.11.2018 128-16/2018/ZK ze dne 26.11.2018</t>
  </si>
  <si>
    <t>celkem</t>
  </si>
  <si>
    <t>3</t>
  </si>
  <si>
    <t>1</t>
  </si>
  <si>
    <t>2</t>
  </si>
  <si>
    <t>4</t>
  </si>
  <si>
    <t>CELKEM 17 - Odbor sociálních věcí</t>
  </si>
  <si>
    <t>CELKEM 10 - Odbor životního prostředí a zemědělství</t>
  </si>
  <si>
    <t>CELKEM 07 - Odbor zdravotnictví</t>
  </si>
  <si>
    <t>CELKEM 06 - Odbor kultury a památkové péče</t>
  </si>
  <si>
    <t>CELKEM 05 - Odbor školství</t>
  </si>
  <si>
    <t>CELKEM 04 - Odbor dopravy</t>
  </si>
  <si>
    <t>CELKEM 03 - Odbor informatiky</t>
  </si>
  <si>
    <t>Domov Laguna, Psáry</t>
  </si>
  <si>
    <t>vlastní prostředky PO, a.s.</t>
  </si>
  <si>
    <t>prostředky rozpočtu SK kromě kap. 12</t>
  </si>
  <si>
    <t>Střední průmyslová škola, Mladá Boleslav, Havlíčkova 456</t>
  </si>
  <si>
    <t>Středočeská vědecká knihovna v Kladně</t>
  </si>
  <si>
    <t>57/2019/KUL</t>
  </si>
  <si>
    <t xml:space="preserve">Místa pro kontrolu nákladních vozidel </t>
  </si>
  <si>
    <t xml:space="preserve">Přípravné a projekční práce zabezpečení investičních staveb </t>
  </si>
  <si>
    <t>109/2019/DOP</t>
  </si>
  <si>
    <t>113/2019/DOP</t>
  </si>
  <si>
    <t>128/2019/DOP</t>
  </si>
  <si>
    <t>III/1057 komunikace na hrázi Dunávického rybníka</t>
  </si>
  <si>
    <t>snížení CN o 1 tis. Kč</t>
  </si>
  <si>
    <t>Rekonstrukce sociálních zařízení v budově KÚ</t>
  </si>
  <si>
    <t>Časový horizont změny aktuálního stavu (měsíc /rok)</t>
  </si>
  <si>
    <t>Zařazeno do Zásobníku investic usnesením RK/ZK</t>
  </si>
  <si>
    <t>203/2020/DOP</t>
  </si>
  <si>
    <t>Obnova budov cestmistrovství</t>
  </si>
  <si>
    <t>Domov Seniorů Vojkov</t>
  </si>
  <si>
    <t>Domov u Anežky Luštěnice</t>
  </si>
  <si>
    <t>048-24/2019/RK ze dne  29.7.2019 088-20/2019/ZK ze dne 26.8.2019</t>
  </si>
  <si>
    <t>Středočeský portál služeb</t>
  </si>
  <si>
    <t>2/2020/ŘDP</t>
  </si>
  <si>
    <t>Aktuální stav (Příprava VZ, Probíhá VZ, Realizace, Finanční vypořádání, Ukončeno,  Zrušeno)</t>
  </si>
  <si>
    <t>71/2020/KUL</t>
  </si>
  <si>
    <t>mimo rozpočet SK</t>
  </si>
  <si>
    <t>ON Příbram, a. s.</t>
  </si>
  <si>
    <t>137/2020/SOC</t>
  </si>
  <si>
    <t>Domov seniorů Jenštejn</t>
  </si>
  <si>
    <t>Rozšíření kapacity Domova seniorů Jenštejn</t>
  </si>
  <si>
    <t>138/2020/SOC</t>
  </si>
  <si>
    <t>Rozšíření objektu Domov u Anežky Luštenice</t>
  </si>
  <si>
    <t>úvěr EIB</t>
  </si>
  <si>
    <t>Výkup pozemků (včetně pod stávající sítí) - silniční síť</t>
  </si>
  <si>
    <t>FINANČNÍ VYPOŘÁDÁNÍ</t>
  </si>
  <si>
    <t>256/2021/DOP</t>
  </si>
  <si>
    <t>III/1114 Líšno, svah a část vozovky</t>
  </si>
  <si>
    <t>Pozn. - číselné hodnoty finančních prostředků jsou ukládány s přesností na haléře, pro přehlednost jsou zobrazovány zaokrouhleně na celé tis. Kč.</t>
  </si>
  <si>
    <t>CELKEM 26 - Odbor veřejné mobility</t>
  </si>
  <si>
    <t>CELKEM 25 - Odbor bezpečnosti a krizového řízení</t>
  </si>
  <si>
    <t>CELKEM 08 - Oddělení regionálního rozvoje</t>
  </si>
  <si>
    <t>ORP</t>
  </si>
  <si>
    <t>Mladá Boleslav</t>
  </si>
  <si>
    <t>Černošice</t>
  </si>
  <si>
    <t>Sedlčany</t>
  </si>
  <si>
    <t>Říčany</t>
  </si>
  <si>
    <t>Benešov</t>
  </si>
  <si>
    <t>Kutná Hora</t>
  </si>
  <si>
    <t>Nymburk</t>
  </si>
  <si>
    <t>Beroun</t>
  </si>
  <si>
    <t>Kolín</t>
  </si>
  <si>
    <t>Slaný</t>
  </si>
  <si>
    <t>Mnichovo Hradiště</t>
  </si>
  <si>
    <t>Rakovník</t>
  </si>
  <si>
    <t>Poděbrady</t>
  </si>
  <si>
    <t>Kladno</t>
  </si>
  <si>
    <t>Příbram</t>
  </si>
  <si>
    <t>Český Brod</t>
  </si>
  <si>
    <t>Mělník</t>
  </si>
  <si>
    <t>Dobříš</t>
  </si>
  <si>
    <t>Vlašim</t>
  </si>
  <si>
    <t>Hořovice</t>
  </si>
  <si>
    <t>Votice</t>
  </si>
  <si>
    <t>Nákup a obnova výpočetní techniky a zařízení</t>
  </si>
  <si>
    <t>Chytrý úřad - elektronický vnitřní informační systém KÚ</t>
  </si>
  <si>
    <t>259/2021/DOP</t>
  </si>
  <si>
    <t>III/11816 Jelence</t>
  </si>
  <si>
    <t>82/2021/KUL</t>
  </si>
  <si>
    <t>Oblastní muzeum Praha - východ</t>
  </si>
  <si>
    <t>Nový objekt základní školy speciální - Mladá Boleslav</t>
  </si>
  <si>
    <t>1/2011/INF</t>
  </si>
  <si>
    <t>3/2013/INF</t>
  </si>
  <si>
    <t>6/2018/INF</t>
  </si>
  <si>
    <t>9/2018/INF</t>
  </si>
  <si>
    <t>10/2018/INF</t>
  </si>
  <si>
    <t>1/2013/DOP</t>
  </si>
  <si>
    <t>2/2006/DOP</t>
  </si>
  <si>
    <t>35/2018/DOP</t>
  </si>
  <si>
    <t>18/2017/SKOL</t>
  </si>
  <si>
    <t>31/2018/SKOL</t>
  </si>
  <si>
    <t>66/2018/SKOL</t>
  </si>
  <si>
    <t>20/2018/KUL</t>
  </si>
  <si>
    <t>32/2018/KUL</t>
  </si>
  <si>
    <t>12/2017/SOC</t>
  </si>
  <si>
    <t>č. inv. akce</t>
  </si>
  <si>
    <t xml:space="preserve">Legenda </t>
  </si>
  <si>
    <t>047-42/2021/RK ze dne 11.11.2021 031-11/2021/ZK ze dne 29.11.2021</t>
  </si>
  <si>
    <t>261/2021/DOP</t>
  </si>
  <si>
    <t>Čáslav</t>
  </si>
  <si>
    <t>Rekonstrukce / revitalizace areálu Regionálního muzea v Jílovém u Prahy</t>
  </si>
  <si>
    <t>147/2022/SOC</t>
  </si>
  <si>
    <t>Výstavba nového centrálního muzejního depozitáře pro RM Kolín</t>
  </si>
  <si>
    <t>Polabské muzeum</t>
  </si>
  <si>
    <t>Centrum 83</t>
  </si>
  <si>
    <t>Kralupy n. Vl.</t>
  </si>
  <si>
    <t>Muzeum Českého krasu</t>
  </si>
  <si>
    <t>Akce EPC II - energetické úspory Středočeského kraje - soubor objektů č. 7</t>
  </si>
  <si>
    <t>Akce EPC II - energetické úspory Středočeského kraje - soubor objektů č. 8</t>
  </si>
  <si>
    <t>Domov Buda</t>
  </si>
  <si>
    <t>Centrum Rožmitál</t>
  </si>
  <si>
    <t>9/2022/OVM</t>
  </si>
  <si>
    <t>Cyklostezka Koloděje  – Sibřina (po místní komunikaci)</t>
  </si>
  <si>
    <t>Výstavba úložných prostor a výměna střešní krytiny a oplechování Arnoldinovského domu</t>
  </si>
  <si>
    <t>České muzeum stříbra</t>
  </si>
  <si>
    <t>Muzeum T.G.M. Rakovník</t>
  </si>
  <si>
    <t>Rozšíření expozičního prostoru Brandýsské katovny</t>
  </si>
  <si>
    <t>Regionální muzeum Mělník</t>
  </si>
  <si>
    <t>280/2021/DOP</t>
  </si>
  <si>
    <t>II/328, III/3279 a III/3287 Jestřabí Lhota</t>
  </si>
  <si>
    <t>285/2021/DOP</t>
  </si>
  <si>
    <t>II/272 Benátky nad Jizerou, připojení na silnici III/27212</t>
  </si>
  <si>
    <t>302/2021/DOP</t>
  </si>
  <si>
    <t>BESIP-III/27944 Žerčice, úprava vjezdu do obce</t>
  </si>
  <si>
    <t>311/2021/DOP</t>
  </si>
  <si>
    <t>2/2022/OZP</t>
  </si>
  <si>
    <t>Projektová a inženýrská příprava Vodovodního přivaděče D3 do fáze projektové dokumentace do stadia získání stavebního povolení</t>
  </si>
  <si>
    <t>4/2022/OZP</t>
  </si>
  <si>
    <t>Projektová a inženýrská příprava na Vyvolaná opatření na vodovodu Javorník - Benešov</t>
  </si>
  <si>
    <t>Benešov, Sedlčany, Votice</t>
  </si>
  <si>
    <t>Rekonstrukce ohradní zdi domova</t>
  </si>
  <si>
    <t>Památník Karla Čapka ve Staré Huti u Dobříše</t>
  </si>
  <si>
    <t>1/2011/OHS</t>
  </si>
  <si>
    <t>11/2019/OHS</t>
  </si>
  <si>
    <t>24/2021/OHS</t>
  </si>
  <si>
    <t>CELKEM 02 - Odbor hospodářské správy</t>
  </si>
  <si>
    <t>CELKEM 11 - Odbor majetku</t>
  </si>
  <si>
    <t>01911</t>
  </si>
  <si>
    <t>06071</t>
  </si>
  <si>
    <t>01514</t>
  </si>
  <si>
    <t>02821</t>
  </si>
  <si>
    <t>04971</t>
  </si>
  <si>
    <t>05482</t>
  </si>
  <si>
    <t>05549</t>
  </si>
  <si>
    <t>00120</t>
  </si>
  <si>
    <t>00121</t>
  </si>
  <si>
    <t>06290</t>
  </si>
  <si>
    <t>05940</t>
  </si>
  <si>
    <t>06720</t>
  </si>
  <si>
    <t>04063</t>
  </si>
  <si>
    <t>04988</t>
  </si>
  <si>
    <t>05086</t>
  </si>
  <si>
    <t>05464</t>
  </si>
  <si>
    <t>05563</t>
  </si>
  <si>
    <t>05876</t>
  </si>
  <si>
    <t>06706</t>
  </si>
  <si>
    <t>07170</t>
  </si>
  <si>
    <t>07112</t>
  </si>
  <si>
    <t>07114</t>
  </si>
  <si>
    <t>04634</t>
  </si>
  <si>
    <t>06958</t>
  </si>
  <si>
    <t>06959</t>
  </si>
  <si>
    <t>06722</t>
  </si>
  <si>
    <t>Modernizace zasedacích a technických místností</t>
  </si>
  <si>
    <t xml:space="preserve"> Revitalizace plášťů budov včetně balkońů a technického vybavení Domova seniorů Sedlčany</t>
  </si>
  <si>
    <t>196/2023/SOC</t>
  </si>
  <si>
    <t>Domov Iváň</t>
  </si>
  <si>
    <t>Dovybaveni EPS k zapojení na CP</t>
  </si>
  <si>
    <t>Vybudování EPS včetně PBŘ</t>
  </si>
  <si>
    <t>199/2023/SOC</t>
  </si>
  <si>
    <t>Domov Mladá</t>
  </si>
  <si>
    <t>Červený mlýn Všestudy</t>
  </si>
  <si>
    <t>314/2023/DOP</t>
  </si>
  <si>
    <t>Silnice II/120 Dobrošovice – rekonstrukce opěrné zdi</t>
  </si>
  <si>
    <t>194/2023/SKOL</t>
  </si>
  <si>
    <t>sloučené, rozdělené akce, změna názvu akce, změna financování, změna způsobu financování, převod do jiného odboru, změna realizátora</t>
  </si>
  <si>
    <t>12/2025</t>
  </si>
  <si>
    <t>snížení CN o 12 tis. Kč</t>
  </si>
  <si>
    <t>126/2023/KUL</t>
  </si>
  <si>
    <t>Demontáž a převoz sýpky z Bakova nad Jizerou do MLS Kouřim</t>
  </si>
  <si>
    <t>Praha</t>
  </si>
  <si>
    <t>137/2023/KUL</t>
  </si>
  <si>
    <t>Obnova naučné stezky Karla Čapka</t>
  </si>
  <si>
    <t>142/2023/KUL</t>
  </si>
  <si>
    <t>EPS a EZS Muzea na pracovištích v Mladé Boleslavi a v Bělé p. B.</t>
  </si>
  <si>
    <t xml:space="preserve">Gymnázium, Příbram, Legionářů 402 </t>
  </si>
  <si>
    <t>oranžově podbarveno (celý řádek) + poznámka (komentář k důvodu zařazení nové akce)</t>
  </si>
  <si>
    <t>modré písmo (celý řádek) + poznámka</t>
  </si>
  <si>
    <t>písmo škrtnuto (celý řádek)</t>
  </si>
  <si>
    <t>zeleně podbarveno (celý řádek) + poznámka</t>
  </si>
  <si>
    <t>CELKEM 09 - Odbor řízení dotačních projektů</t>
  </si>
  <si>
    <t>06918</t>
  </si>
  <si>
    <t>06327</t>
  </si>
  <si>
    <t>Modernizace a rekonstrukce vstupu do Polabského národopisného muzea v Přerově nad Labem</t>
  </si>
  <si>
    <t>145/2023/KUL</t>
  </si>
  <si>
    <t>6/2025</t>
  </si>
  <si>
    <t>154/2023/KUL</t>
  </si>
  <si>
    <t>Pořízení nového dodávkového vozidla pro areál Hornického skanzenu na Březových Horách</t>
  </si>
  <si>
    <t>155/2023/KUL</t>
  </si>
  <si>
    <t>Pořízení nového osobního vozidla pro areál Památníku Vojna</t>
  </si>
  <si>
    <t>162/2023/KUL</t>
  </si>
  <si>
    <t>Vybudování nové pokladny a zázemí pro návštěvníky včetně bezbariérového přístupu v Muzeu Rakovník</t>
  </si>
  <si>
    <t>Nástavba budovy Gymnázia Příbram - PD</t>
  </si>
  <si>
    <t>196/2023/SKOL</t>
  </si>
  <si>
    <t>Stavební úpravy stávající učebny a půdní vestavba nových učeben Gymnázia Říčany - PD</t>
  </si>
  <si>
    <t>197/2023/SKOL</t>
  </si>
  <si>
    <t>Vybudování venkovního sportoviště - SOŠ informatiky a spojů a SOU , Kolín</t>
  </si>
  <si>
    <t>200/2023/SKOL</t>
  </si>
  <si>
    <t>Tělocvična pro Gymnázium Joachima Barranda - PD</t>
  </si>
  <si>
    <t>III/32914 Kostelní Lhota-Pečky</t>
  </si>
  <si>
    <t>202/2023/SOC</t>
  </si>
  <si>
    <t>Vybudování nové EPS v objektu Zámku a Kláštera Domova Rožďalovice</t>
  </si>
  <si>
    <t>Domov Rožďalovice</t>
  </si>
  <si>
    <t>Připojení EPS na pult centrální ochrany</t>
  </si>
  <si>
    <t>207/2023/SOC</t>
  </si>
  <si>
    <t>Rekonstrukce střechy Koniklec  Suchomasty</t>
  </si>
  <si>
    <t>Domov Koniklec Suchomasty</t>
  </si>
  <si>
    <t>05622</t>
  </si>
  <si>
    <t>8/2025</t>
  </si>
  <si>
    <t>8/2026</t>
  </si>
  <si>
    <t>12/2026</t>
  </si>
  <si>
    <t>3/2022/ŘDP</t>
  </si>
  <si>
    <t>4/2022/ŘDP</t>
  </si>
  <si>
    <t>Sládečkovo vlastivědné muzeum v Kladně</t>
  </si>
  <si>
    <t>Nákup osobního automobilu</t>
  </si>
  <si>
    <t>Domov seniorů Vojkov</t>
  </si>
  <si>
    <t>210/2023/SOC</t>
  </si>
  <si>
    <t>Zelená lípa Hostivice</t>
  </si>
  <si>
    <t>215/2023/SOC</t>
  </si>
  <si>
    <t>Napojení objektu na pult HZS</t>
  </si>
  <si>
    <t>338/2023/DOP</t>
  </si>
  <si>
    <t>343/2023/DOP</t>
  </si>
  <si>
    <t>II/121 Sedlec průtah</t>
  </si>
  <si>
    <t>07414</t>
  </si>
  <si>
    <t>07389</t>
  </si>
  <si>
    <t>07416</t>
  </si>
  <si>
    <t>201/2023/SKOL</t>
  </si>
  <si>
    <t>Obchodní akademie, Vlašim, V sadě 1565</t>
  </si>
  <si>
    <t>202/2023/SKOL</t>
  </si>
  <si>
    <t>Přístavba kmenových tříd Gymnázium  Joachima Barranda Beroun</t>
  </si>
  <si>
    <t>203/2023/SKOL</t>
  </si>
  <si>
    <t>Půdní vestavba - SOŠ a SOU Jílové u Prahy</t>
  </si>
  <si>
    <t>Střední odborná škola a Střední odborné učiliště Jílové u Prahy, Šenflukova 220</t>
  </si>
  <si>
    <t>206/2023/SKOL</t>
  </si>
  <si>
    <t>Výstavba budovy pro nové Gymnázium Černošice</t>
  </si>
  <si>
    <t>Gymnázium Černošice</t>
  </si>
  <si>
    <t>06058</t>
  </si>
  <si>
    <t>07460</t>
  </si>
  <si>
    <t>07312</t>
  </si>
  <si>
    <t>07427</t>
  </si>
  <si>
    <t>07547</t>
  </si>
  <si>
    <t>048-23/2023/RK ze dne 8.6.2023       15-26/2023/ZK ze dne 26.6.2023</t>
  </si>
  <si>
    <t>07428</t>
  </si>
  <si>
    <t>07429</t>
  </si>
  <si>
    <t>Střední odborná škola a Střední odborné učiliště, Mladá Boleslav, Jičínská 762</t>
  </si>
  <si>
    <t>210/2023/SKOL</t>
  </si>
  <si>
    <t>07539</t>
  </si>
  <si>
    <t>Přestavba domova mládeže na učebny - ISŠT Mělník</t>
  </si>
  <si>
    <t>Integrovaná střední škola technická Mělník, příspěvková organizace</t>
  </si>
  <si>
    <t>4/2025</t>
  </si>
  <si>
    <t>344/2023/DOP</t>
  </si>
  <si>
    <t>III/10522 Sedlčany, most ev.č. 10522-1 přes potok Mastník</t>
  </si>
  <si>
    <t>345/2023/DOP</t>
  </si>
  <si>
    <t>Čelákovice obchvat</t>
  </si>
  <si>
    <t>10/2025</t>
  </si>
  <si>
    <t>347/2023/DOP</t>
  </si>
  <si>
    <t>348/2023/DOP</t>
  </si>
  <si>
    <t>Dobříš, Vlašim, Sedlčany, Příbram</t>
  </si>
  <si>
    <t>2/2023/MAJ</t>
  </si>
  <si>
    <t>Demolice pro potřeby SOC a ŠKS</t>
  </si>
  <si>
    <t>183/2023/KUL</t>
  </si>
  <si>
    <t>Hrad, krajina a lidé, stálá expozice</t>
  </si>
  <si>
    <t>186/2023/KUL</t>
  </si>
  <si>
    <t>Modernizace zdrojů tepla (přechod z plynových kotlů na tepelná čerpadla) a výstavba FTV elektrárny do 50 kwp</t>
  </si>
  <si>
    <t>Brandýs n. L. - Stará Boleslav</t>
  </si>
  <si>
    <t>07549</t>
  </si>
  <si>
    <t>07567</t>
  </si>
  <si>
    <t>212/2023/SKOL</t>
  </si>
  <si>
    <t>Gymnázium J. S. Machara, Brandýs nad Labem - Stará Boleslav, Královická 668</t>
  </si>
  <si>
    <t>226/2023/SOC</t>
  </si>
  <si>
    <t>Nákup automobilu se speciální úpravou pro přepravu invalidů s doprovodem</t>
  </si>
  <si>
    <t>III/1016 Kunice</t>
  </si>
  <si>
    <t>III/12537 Zásmuky - Sobočice</t>
  </si>
  <si>
    <t>II/329 Radim</t>
  </si>
  <si>
    <t>III/11217 Keblov – odb. Kačerov  </t>
  </si>
  <si>
    <t>III/2421 Velké Přílepy</t>
  </si>
  <si>
    <t>III/11625, III/11627 Mníšek p. Brdy-Zahořany</t>
  </si>
  <si>
    <t xml:space="preserve">III/27610 Studénka - Násedlnice </t>
  </si>
  <si>
    <t>12/2028</t>
  </si>
  <si>
    <t>211/2023/KUL</t>
  </si>
  <si>
    <t>Výstavní systém svítidel na půdě zámku</t>
  </si>
  <si>
    <t>214/2023/KUL</t>
  </si>
  <si>
    <t>viz soubor objektů</t>
  </si>
  <si>
    <t>352/2023/DOP</t>
  </si>
  <si>
    <t>353/2023/DOP</t>
  </si>
  <si>
    <t>356/2023/DOP</t>
  </si>
  <si>
    <t>361/2023/DOP</t>
  </si>
  <si>
    <t>364/2023/DOP</t>
  </si>
  <si>
    <t>375/2023/DOP</t>
  </si>
  <si>
    <t>378/2023/DOP</t>
  </si>
  <si>
    <t>379/2023/DOP</t>
  </si>
  <si>
    <t>384/2023/DOP</t>
  </si>
  <si>
    <t>389/2023/DOP</t>
  </si>
  <si>
    <t>07628</t>
  </si>
  <si>
    <t>07629</t>
  </si>
  <si>
    <t>07659</t>
  </si>
  <si>
    <t>07696</t>
  </si>
  <si>
    <t>07666</t>
  </si>
  <si>
    <t>žádný</t>
  </si>
  <si>
    <t>SC 4.2</t>
  </si>
  <si>
    <t>SC 4.1</t>
  </si>
  <si>
    <t>SC 3.2</t>
  </si>
  <si>
    <t>SC 10.2</t>
  </si>
  <si>
    <t>SC 10.1, SC 2.1, SC 10.2</t>
  </si>
  <si>
    <t>SC 10.1, SC 2.1</t>
  </si>
  <si>
    <t>SC 5.1</t>
  </si>
  <si>
    <t>SC 7.1</t>
  </si>
  <si>
    <t>SC 8.2</t>
  </si>
  <si>
    <t>Specifický cíl SRK</t>
  </si>
  <si>
    <t>6.2</t>
  </si>
  <si>
    <t>28/2024/OHS</t>
  </si>
  <si>
    <t>Výměna střešního pláště včetně zateplení a světlíků na garážích KÚ</t>
  </si>
  <si>
    <t>18/2024/OVM</t>
  </si>
  <si>
    <t>IDSK – Pořízení, implementace a podpora SW pro Asset Management a Service Desk</t>
  </si>
  <si>
    <t>snížení CN o 29 tis. Kč</t>
  </si>
  <si>
    <t>07706</t>
  </si>
  <si>
    <t>07708</t>
  </si>
  <si>
    <t>3/2025</t>
  </si>
  <si>
    <t>07710</t>
  </si>
  <si>
    <t>07713</t>
  </si>
  <si>
    <t>07716</t>
  </si>
  <si>
    <t>07718</t>
  </si>
  <si>
    <t>07726</t>
  </si>
  <si>
    <t>229/2024/SOC</t>
  </si>
  <si>
    <t>Vybudování EPS včetně stavebních úprav Domov ve Vlašimi</t>
  </si>
  <si>
    <t>Domov ve Vlašimi</t>
  </si>
  <si>
    <t>235/2024/SOC</t>
  </si>
  <si>
    <t xml:space="preserve">PBŘ – Nalžovický zámek </t>
  </si>
  <si>
    <t>236/2024/SOC</t>
  </si>
  <si>
    <t>Úpravy v DS v souladu se zákonem o požární ochraně</t>
  </si>
  <si>
    <t>Domov seniorů Jankov</t>
  </si>
  <si>
    <t>31/2024/OHS</t>
  </si>
  <si>
    <t>Rekonstrukce zasedací místnosti 1088</t>
  </si>
  <si>
    <t>Revitalizace obvodového pláště školy OA Vlašim</t>
  </si>
  <si>
    <t>215/2024/SKOL</t>
  </si>
  <si>
    <t>Žádný</t>
  </si>
  <si>
    <t>216/2024/SKOL</t>
  </si>
  <si>
    <t>Střední průmyslová škola a Vyšší odborná škola Příbram Hrabákova 271</t>
  </si>
  <si>
    <t>228/2024/KUL</t>
  </si>
  <si>
    <t>240/2024/KUL</t>
  </si>
  <si>
    <t>Revitalizace pláště budovy Arnoldinovského domu v Brandýse nad Labem</t>
  </si>
  <si>
    <t>9/2026</t>
  </si>
  <si>
    <t>8/2027</t>
  </si>
  <si>
    <t>Okružní křižovatka sil. II/101 ulic Mostní s Třídou Legií a ulicí Třebízského v Kralupech nad Vltavou</t>
  </si>
  <si>
    <t>III/1171 0 Bavoryně, havárie opěrné zdi</t>
  </si>
  <si>
    <t>Vypracování PD na rekonstrukci objektu C, včetně její přístavby (kavárna a pokladna)  a pro optimalizaci prostoru objektu D (vestavba patra)</t>
  </si>
  <si>
    <t>Investice do depozitního objektu</t>
  </si>
  <si>
    <t>modře podbarvená buňka s č. inv. akce</t>
  </si>
  <si>
    <t>akce odboru SOC - investice do EZS</t>
  </si>
  <si>
    <t>9/2025</t>
  </si>
  <si>
    <t>III/12513, 12511 Rataje, Zdislavice</t>
  </si>
  <si>
    <t>III/1012 a III/1015 Všestary, rekonstrukce silnice</t>
  </si>
  <si>
    <t>07740</t>
  </si>
  <si>
    <t>247/2024/KUL</t>
  </si>
  <si>
    <t>248/2024/KUL</t>
  </si>
  <si>
    <t>Venkovní samoobslužný návratový automat s třídící linkou</t>
  </si>
  <si>
    <t>250/2024/KUL</t>
  </si>
  <si>
    <t>Nákup a instalace záložního serveru</t>
  </si>
  <si>
    <t>252/2024/KUL</t>
  </si>
  <si>
    <t>Kamerový systém CCTV v Hornického skanzenu Mayrau ve Vinařicích</t>
  </si>
  <si>
    <t>253/2024/KUL</t>
  </si>
  <si>
    <t>Rekonstrukce kabelového kanálu Mayrau</t>
  </si>
  <si>
    <t>256/2024/KUL</t>
  </si>
  <si>
    <t>Zhotovení nové fasády, výplně okenních a vstupních otvorů a nového schodiště na věži v areálu tvrze v Hradeníně</t>
  </si>
  <si>
    <t>257/2024/KUL</t>
  </si>
  <si>
    <t>267/2024/KUL</t>
  </si>
  <si>
    <t>274/2024/KUL</t>
  </si>
  <si>
    <t>Prokůpkův dům, Kouřim</t>
  </si>
  <si>
    <t>275/2024/KUL</t>
  </si>
  <si>
    <t>Rekonstrukce, modernizace a zatraktivnění hlavního sídla Muzea Českého krasu, areálu památkově chráněných budov Jenštejnského a Salátovského domu Husovo nám. 87 a 88 Beroun</t>
  </si>
  <si>
    <t>Komplexní rekonstrukce kanalizace v celém areálu školy -VOŠ a SZŠ Benešov</t>
  </si>
  <si>
    <t>07776</t>
  </si>
  <si>
    <t>07777</t>
  </si>
  <si>
    <t>218/2024/SKOL</t>
  </si>
  <si>
    <t>Střední průmyslová škola a Vyšší odborná škola, Kladno, Jana Palacha 1840</t>
  </si>
  <si>
    <t>221/2024/SKOL</t>
  </si>
  <si>
    <t>224/2024/SKOL</t>
  </si>
  <si>
    <t>Modernizace objektu farmy Pomněnice - PD</t>
  </si>
  <si>
    <t>225/2024/SKOL</t>
  </si>
  <si>
    <t>Přestavba půdních prostor na učebny - SOŠ a SOU Horky nad Jizerou</t>
  </si>
  <si>
    <t>228/2024/SKOL</t>
  </si>
  <si>
    <t xml:space="preserve"> Nákladního vozidlo pro výuku - SOŠ a SOU Mladá Boleslav</t>
  </si>
  <si>
    <t>229/2024/SKOL</t>
  </si>
  <si>
    <t>Střední zemědělská škola, Čáslav, Sadová 1234</t>
  </si>
  <si>
    <t>237/2024/SKOL</t>
  </si>
  <si>
    <t>Nákladní automobil - VOŠ a SZŠ Benešov</t>
  </si>
  <si>
    <t>238/2024/SOC</t>
  </si>
  <si>
    <t>Rekonstrukce Památníku Antonína Dvořáka ve Vysoké u Příbrami 2024</t>
  </si>
  <si>
    <t xml:space="preserve">Požárně bezpečnostní řešení </t>
  </si>
  <si>
    <t>07678</t>
  </si>
  <si>
    <t>022-37/2022/RK ze dne 6.10.2022 070-42/2022/RK ze dne 10.11.2022 020-20/2022/ZK ze dne 28.11.2022</t>
  </si>
  <si>
    <t>SC 78.2</t>
  </si>
  <si>
    <t>III/1138, III/1139, II/113 Tismice, Vrátkov, Doubravčice</t>
  </si>
  <si>
    <t>III/0066, 00711, 00716 Hřebeč, rekonstrukce silnic - II. etapa</t>
  </si>
  <si>
    <t>III/0056, III/00513, III/00514, III/00518 – opatření ke zvýšení bezpečnosti v místech křižovatek</t>
  </si>
  <si>
    <t>9/2024/ŘDP</t>
  </si>
  <si>
    <t>EPC IV - realizace energetických opatření v rámci Středočeského kraje</t>
  </si>
  <si>
    <t>07871</t>
  </si>
  <si>
    <t>III/00315, III/10113 Radlík - Kostelec u Křížků, II.etapa</t>
  </si>
  <si>
    <t>Zateplení budovy školy a střechy - G a SOŠE - Sedlčany</t>
  </si>
  <si>
    <t>Výměna oken v hlavní budově - SPŠ a VOŠ Kladno</t>
  </si>
  <si>
    <t>Technologie stáčení a expedice vína - Školní statek SK</t>
  </si>
  <si>
    <t>277/2024/KUL</t>
  </si>
  <si>
    <t>Havířská osada prostor pro kulturní a vzdělávací programy</t>
  </si>
  <si>
    <t>278/2024/KUL</t>
  </si>
  <si>
    <t>Odvodnění výstupní šachty prohlídkové trasy v důlním díle</t>
  </si>
  <si>
    <t>279/2024/KUL</t>
  </si>
  <si>
    <t>IT vybavení muzejní herny</t>
  </si>
  <si>
    <t>280/2024/KUL</t>
  </si>
  <si>
    <t>Revitalizace sklepů, parkánu a nádvoří hradu Mladá Boleslav</t>
  </si>
  <si>
    <t>281/2024/KUL</t>
  </si>
  <si>
    <t>Venkov v proměnách času, rehabilitace stálé expozice</t>
  </si>
  <si>
    <t>Rozšíření funkcí leteckého muzea Metoděje Vlacha v Mladé Boleslavi</t>
  </si>
  <si>
    <t>282/2024/KUL</t>
  </si>
  <si>
    <t>Revitalizace Památníku Josefa Lady a jeho dcery Aleny</t>
  </si>
  <si>
    <t>283/2024/KUL</t>
  </si>
  <si>
    <t>Vybudování depozitáře v objektu tzv. nové kuchyně v Památníku Vojna</t>
  </si>
  <si>
    <t>284/2024/KUL</t>
  </si>
  <si>
    <t>Adaptace areálu Středočeské vědecké knihovny v Kladně na živé centrum společenských, kulturních a vzdělávacích aktivit</t>
  </si>
  <si>
    <t>07756</t>
  </si>
  <si>
    <t>Dětské centrum Kolín, p. o.</t>
  </si>
  <si>
    <t>190/2024/ZDR</t>
  </si>
  <si>
    <t>Automobil</t>
  </si>
  <si>
    <t>286/2024/KUL</t>
  </si>
  <si>
    <t>07851</t>
  </si>
  <si>
    <t>07862</t>
  </si>
  <si>
    <t>07827</t>
  </si>
  <si>
    <t>07828</t>
  </si>
  <si>
    <t>29/2024/INF</t>
  </si>
  <si>
    <t>Nové tiskové řešení na krajském úřadě SK</t>
  </si>
  <si>
    <t>249/2024/SOC</t>
  </si>
  <si>
    <t>Rekonstrukce soklu  - Zámku</t>
  </si>
  <si>
    <t>254/2024/SOC</t>
  </si>
  <si>
    <t>Výměna elektrorozvodů a rozvodů SLP Nový Pavilon</t>
  </si>
  <si>
    <t>SC.78.2</t>
  </si>
  <si>
    <t>07991</t>
  </si>
  <si>
    <t xml:space="preserve">011-11/2022/RK ze dne 17.3.2022  046-14/2022/RK ze dne 7.4.2022    011-15/2022/ZK ze dne 25.4.2022  009-39/2022/RK ze dne 19.10.2022 </t>
  </si>
  <si>
    <t>Lysá n. L.</t>
  </si>
  <si>
    <t>411/2024/DOP</t>
  </si>
  <si>
    <t>410/2024/DOP</t>
  </si>
  <si>
    <t>409/2024/DOP</t>
  </si>
  <si>
    <t>394/2024/DOP</t>
  </si>
  <si>
    <t>399/2024/DOP</t>
  </si>
  <si>
    <t>407/2024/DOP</t>
  </si>
  <si>
    <t>043-14/2023/RK ze dne 6.4.2023 013-24/2023/ZK ze dne 24.4.2023</t>
  </si>
  <si>
    <t>Půdní vestavba Gymnázium J. S. Machara Brandýs n. Labem - PD</t>
  </si>
  <si>
    <t>07993</t>
  </si>
  <si>
    <t>07972</t>
  </si>
  <si>
    <t>07973</t>
  </si>
  <si>
    <t>07975</t>
  </si>
  <si>
    <t>07979</t>
  </si>
  <si>
    <t>240/2024/SKOL</t>
  </si>
  <si>
    <t>Obnova obvodového pláště hlavní budovy - DDM Beroun</t>
  </si>
  <si>
    <t>Dům dětí a mládeže Beroun, příspěvková organizace</t>
  </si>
  <si>
    <t xml:space="preserve">Střední odborné učiliště Slaný, příspěvková organizace </t>
  </si>
  <si>
    <t>242/2024/SKOL</t>
  </si>
  <si>
    <t>Přístavba výtahu k objektu GZW Rakovník</t>
  </si>
  <si>
    <t>Gymnázium Zikmunda Wintra Rakovník, příspěvková organizace</t>
  </si>
  <si>
    <t>07899</t>
  </si>
  <si>
    <t>07942</t>
  </si>
  <si>
    <t>07958</t>
  </si>
  <si>
    <t>07969</t>
  </si>
  <si>
    <t>07962</t>
  </si>
  <si>
    <t>288/2024/KUL</t>
  </si>
  <si>
    <t>Komplexní antivirová ochrana a zajištění bezpečnosti dat</t>
  </si>
  <si>
    <t>294/2024/KUL</t>
  </si>
  <si>
    <t>Rekonstrukce statkářského domu a vybudování zázemí pro návštěvníky v areálu tvrze v Hradeníně + TDS</t>
  </si>
  <si>
    <t>303/2024/KUL</t>
  </si>
  <si>
    <t>Rekonstrukce stávajícího a výstavba nového depozitáře v Senomatech</t>
  </si>
  <si>
    <t>031-15/2024/RK ze dne 11.4.2024 014-33/2024/ZK ze dne 29.4.2024</t>
  </si>
  <si>
    <t>056-40/2023/RK ze dne 9.11.2023 016-29/2023/ZK ze dne 27.11.2023</t>
  </si>
  <si>
    <t>012-30/2023/RK ze dne 24.8.2023 021-27/2023/ZK ze dne 18.9.2023</t>
  </si>
  <si>
    <t>042-11/2011/RK ze dne 07.03.2011 047-15/2011/ZK ze dne 11.03.2011</t>
  </si>
  <si>
    <t>042-33/2019/RK ze dne 31.10.2019 139-21/2019/ZK ze dne 25.11.2019</t>
  </si>
  <si>
    <t>036-53/2020/RK ze dne 20.7.2020 130-26/2020/ZK ze dne 3.8.2020</t>
  </si>
  <si>
    <t>052-06/2024/RK ze dne 8.2.2024 009-31/2024/ZK ze dne 26.2.2024</t>
  </si>
  <si>
    <t>045-22/2024/RK ze dne 6.6.2024 016-35/2024/ZK ze dne 24.6.2024</t>
  </si>
  <si>
    <t>042-11/2011/RK ze dne 7.3.2011 047-15/2011/ZK ze dne 11.3.2011</t>
  </si>
  <si>
    <t>008-08/2013/RK ze dne 25.2.2013 004-03/2013/ZK ze dne 11.3.2013</t>
  </si>
  <si>
    <t xml:space="preserve"> 008-08/2013/RK ze dne 25.2.2013 004-03/2013/ZK ze dne 11.3.2013</t>
  </si>
  <si>
    <t>075-07/2006/RK ze dne 30.3.2006 013-11/2006/ZK ze dne 24.4.2006</t>
  </si>
  <si>
    <t>045-24/2018/RK ze dne 6.8.2018 041-15/2018/ZK ze dne 27.8.2018</t>
  </si>
  <si>
    <t>025-05/2019/RK ze dne 4.2.2019 101-17/2019/ZK ze dne 18.2.2019</t>
  </si>
  <si>
    <t>066-02/2020/RK ze dne 13.1.2020 071-22/2020/ZK ze dne 27.1.2020</t>
  </si>
  <si>
    <t xml:space="preserve"> 037-16/2021/RK ze dne 8.4.2021 027-06/2021/ZK ze dne 26.4.2021</t>
  </si>
  <si>
    <t>030-06/2022/RK ze dne 10.2.2022 014-13/2022/ZK ze dne 28.2.2022</t>
  </si>
  <si>
    <t>064-31/2022/RK ze dne 25.8.2022 015-18/2022/ZK ze dne 12.9.2022</t>
  </si>
  <si>
    <t>070-42/2022/RK ze dne 10.11.2022 020-20/2022/ZK ze dne 28.11.2022</t>
  </si>
  <si>
    <t>048-23/2023/RK ze dne 8.6.2023 15-26/2023/ZK ze dne 26.6.2023</t>
  </si>
  <si>
    <t>040-23/2017/RK ze dne 15.6.2017 038-07/2017/ZK ze dne 27.6.2017</t>
  </si>
  <si>
    <t>053-12/2018/Rk ze dne 6.4.2018 033-13/2018/ZK ze dne 26.4.2018</t>
  </si>
  <si>
    <t xml:space="preserve">052-06/2024/RK ze dne 8.2.2024 028-08/2024/RK ze dne 22.2.2024 009-31/2024/ZK ze dne 26.2.2024  </t>
  </si>
  <si>
    <t>028-18/2024/RK ze dne 9.5.2024 045-22/2024/RK ze dne 6.6.2024 016-35/2024/ZK ze dne 24.6.2024</t>
  </si>
  <si>
    <t>044-36/2017/RK ze dne 12.10.2017 009-10/2017/ZK ze dne 24.10.2017</t>
  </si>
  <si>
    <t>040-84/2020/RK ze dne 26.11.2020 021-02/2020/ZK ze dne 14.12.2020</t>
  </si>
  <si>
    <t xml:space="preserve"> 052-06/2024/RK ze dne 8.2.2024 009-31/2024/ZK ze dne 26.2.2024</t>
  </si>
  <si>
    <t>07921</t>
  </si>
  <si>
    <t>3/2026</t>
  </si>
  <si>
    <t>259/2024/SOC</t>
  </si>
  <si>
    <t>Evakuační výtah Havlíčkova 447</t>
  </si>
  <si>
    <t>SC 82</t>
  </si>
  <si>
    <t>260/2024/SOC</t>
  </si>
  <si>
    <t>Rekonstrukce transformační stanice</t>
  </si>
  <si>
    <t>029-29/2024/RK ze dne 22.8.2024 013-36/2024/ZK ze dne 9.9.2024</t>
  </si>
  <si>
    <t>048-23/2023/RK ze dne 8.6.2023 015-26/2023/ZK ze dne 26.6.2023</t>
  </si>
  <si>
    <t>Snížení CN o 73 tis. Kč</t>
  </si>
  <si>
    <t>11/2025</t>
  </si>
  <si>
    <t>7/2025</t>
  </si>
  <si>
    <t>6/2026</t>
  </si>
  <si>
    <t>414/2024/DOP</t>
  </si>
  <si>
    <t>II/611 Nehvizdy, obchvat</t>
  </si>
  <si>
    <t>415/2024/DOP</t>
  </si>
  <si>
    <t>II/338 Žehušice- hr. Obl.</t>
  </si>
  <si>
    <t>416/2024/DOP</t>
  </si>
  <si>
    <t>III/3284 Sendražice, propustek</t>
  </si>
  <si>
    <t>III/3284 Sendražice, ul. Hlavní</t>
  </si>
  <si>
    <t>II/336 Zruč nad Sázavou, ul. 1. máje</t>
  </si>
  <si>
    <t>III/27528 Dymokury</t>
  </si>
  <si>
    <t>III/33014 Kovansko</t>
  </si>
  <si>
    <t>lll/25934 Tupadly</t>
  </si>
  <si>
    <t>III/26817 Jivina - Strážiště</t>
  </si>
  <si>
    <t>III/24019, III/24022 Olovnice</t>
  </si>
  <si>
    <t xml:space="preserve">III/10169 Škvorec </t>
  </si>
  <si>
    <t>III/3322 Čachovice - Lipník</t>
  </si>
  <si>
    <t>III/27221 Chotětov - Hrušov</t>
  </si>
  <si>
    <t>III/24213 Odolena Voda - Veliká Ves</t>
  </si>
  <si>
    <t>II/113 Vestec-Ostředek</t>
  </si>
  <si>
    <t>II/605 Loděnice-Cerhovice</t>
  </si>
  <si>
    <t>II/229 Krupá, Třeboc</t>
  </si>
  <si>
    <t>III/23739 Řevničov</t>
  </si>
  <si>
    <t>417/2024/DOP</t>
  </si>
  <si>
    <t>418/2024/DOP</t>
  </si>
  <si>
    <t>423/2024/DOP</t>
  </si>
  <si>
    <t>425/2024/DOP</t>
  </si>
  <si>
    <t>428/2024/DOP</t>
  </si>
  <si>
    <t>433/2024/DOP</t>
  </si>
  <si>
    <t>434/2024/DOP</t>
  </si>
  <si>
    <t>435/2024/DOP</t>
  </si>
  <si>
    <t>436/2024/DOP</t>
  </si>
  <si>
    <t>437/2024/DOP</t>
  </si>
  <si>
    <t>438/2024/DOP</t>
  </si>
  <si>
    <t>439/2024/DOP</t>
  </si>
  <si>
    <t>440/2024/DOP</t>
  </si>
  <si>
    <t>441/2024/DOP</t>
  </si>
  <si>
    <t>445/2024/DOP</t>
  </si>
  <si>
    <t>450/2024/DOP</t>
  </si>
  <si>
    <t>453/2024/DOP</t>
  </si>
  <si>
    <t>08011</t>
  </si>
  <si>
    <t>07498</t>
  </si>
  <si>
    <t>08013</t>
  </si>
  <si>
    <t>08061</t>
  </si>
  <si>
    <t>08062</t>
  </si>
  <si>
    <t>Školní statek Středočeského kraje</t>
  </si>
  <si>
    <t>08089</t>
  </si>
  <si>
    <t>08108</t>
  </si>
  <si>
    <t>304/2024/KUL</t>
  </si>
  <si>
    <t>Rekonstrukce budovy č.p. 52 - Penzion GASK</t>
  </si>
  <si>
    <t>247/2024/SKOL</t>
  </si>
  <si>
    <t>Výstavba nové tělocvičny SG Kladno - PD</t>
  </si>
  <si>
    <t xml:space="preserve">. </t>
  </si>
  <si>
    <t>07495</t>
  </si>
  <si>
    <t>08049</t>
  </si>
  <si>
    <t>462/2024/DOP</t>
  </si>
  <si>
    <t>III/1024 Řitka, rekonstrukce silnice a řešení křižovatek</t>
  </si>
  <si>
    <t>08095</t>
  </si>
  <si>
    <t>08121</t>
  </si>
  <si>
    <t>08066</t>
  </si>
  <si>
    <t>08040</t>
  </si>
  <si>
    <t>08044</t>
  </si>
  <si>
    <t>08123</t>
  </si>
  <si>
    <t>08124</t>
  </si>
  <si>
    <t>08113</t>
  </si>
  <si>
    <t>08114</t>
  </si>
  <si>
    <t>08146</t>
  </si>
  <si>
    <t>07430, 07655, 07768</t>
  </si>
  <si>
    <t>07516</t>
  </si>
  <si>
    <t>08153</t>
  </si>
  <si>
    <t>08038</t>
  </si>
  <si>
    <t>08167</t>
  </si>
  <si>
    <t>08169</t>
  </si>
  <si>
    <t>08179</t>
  </si>
  <si>
    <t>08186</t>
  </si>
  <si>
    <t>08171</t>
  </si>
  <si>
    <t>07903</t>
  </si>
  <si>
    <t>08087</t>
  </si>
  <si>
    <t>08183</t>
  </si>
  <si>
    <t xml:space="preserve">1. pololetí   (1.1.-30.6.)   </t>
  </si>
  <si>
    <t xml:space="preserve">2. pololetí   (1.7.-31.12.)       </t>
  </si>
  <si>
    <t>083-39/2024/RK ze dne 14.11.2024 019-02/2024/ZK ze dne 2.12.2024</t>
  </si>
  <si>
    <t>Plán r. 2026</t>
  </si>
  <si>
    <t>Plán r. 2027+</t>
  </si>
  <si>
    <t>Plán r. 2025</t>
  </si>
  <si>
    <t>Limit čerpání r. 2025 - 35 mil. Kč z vlastních prostředků SK</t>
  </si>
  <si>
    <t>Limit čerpání r. 2025 - 22 mil. Kč z vlastních prostředků SK</t>
  </si>
  <si>
    <t>Limit čerpání r. 2025 - 2 mil. Kč z vlastních prostředků SK</t>
  </si>
  <si>
    <t>08192</t>
  </si>
  <si>
    <t>6/2027</t>
  </si>
  <si>
    <t>1/2026</t>
  </si>
  <si>
    <t>5/2026</t>
  </si>
  <si>
    <t>261/2025/SOC</t>
  </si>
  <si>
    <t>262/2025/SOC</t>
  </si>
  <si>
    <t>Osobní automobil 4x4</t>
  </si>
  <si>
    <t>SC.8.2</t>
  </si>
  <si>
    <t>265/2025/SOC</t>
  </si>
  <si>
    <t>Parkovací plocha domov Buda</t>
  </si>
  <si>
    <t>266/2025/SOC</t>
  </si>
  <si>
    <t>Rekonstrukce koupelen DS Benešov</t>
  </si>
  <si>
    <t>268/2025/SOC</t>
  </si>
  <si>
    <t>08226</t>
  </si>
  <si>
    <t>07855</t>
  </si>
  <si>
    <t>07857</t>
  </si>
  <si>
    <t>Kompletní rekonstrukce podlahy v tělocvičně - VOŠ a SZŠ Benešov</t>
  </si>
  <si>
    <t>Rekonstrukce tělocvičny - SPŠ a VOŠ Příbram</t>
  </si>
  <si>
    <t>Traktor pro výuku autoškoly - SZeŠ Čáslav</t>
  </si>
  <si>
    <t>250/2025/SKOL</t>
  </si>
  <si>
    <t>Oprava havarijního stavu opěrné zdi - SPŠ MB</t>
  </si>
  <si>
    <t>251/2025/SKOL</t>
  </si>
  <si>
    <t>252/2025/SKOL</t>
  </si>
  <si>
    <t>254/2025/SKOL</t>
  </si>
  <si>
    <t>Stavební úpravy v budově DD a MŠ Beroun - PD</t>
  </si>
  <si>
    <t>Dětský domov a Mateřská škola, Beroun, příspěvková organizace</t>
  </si>
  <si>
    <t>Rekonstrukce propustku: II/116 Nový Knín, II/126 Soutice, III/10230 Solopysky, III/00411 Svojšice</t>
  </si>
  <si>
    <t>III/10163 Nehvizdy - Horoušany II</t>
  </si>
  <si>
    <t>III/27213 Benátky nad Jizerou - Dražice II</t>
  </si>
  <si>
    <t>III/11437 Neveklov- kř. III/11450</t>
  </si>
  <si>
    <t>III/12140 Arnoštovice - kř. III/12139</t>
  </si>
  <si>
    <t>II/105 Kamenný Přívoz, mosty ev. č. 105-008 a 105-009 přes řeku Sázavu v obci Kamenný Přívoz</t>
  </si>
  <si>
    <t>II/608 hr.hl.m. Praha - Veltrusy - II/101 I. Etapa II. Část, provozní staniční km 5,555-14,800</t>
  </si>
  <si>
    <t>Dolní Bousov – rekonstrukce náměstí T. G. Masaryka a Dolní Bousov – náměstí T.G. Masaryka - odvodnění</t>
  </si>
  <si>
    <t>Měšice, křižovatka silnic II/244 x III/2443 – vybudování SSZ</t>
  </si>
  <si>
    <t>III/27215 Zdětín, rekonstrukce</t>
  </si>
  <si>
    <t>III/24637 Vliněves, průtah</t>
  </si>
  <si>
    <t>III/3321 Milovice, rekonstrukce</t>
  </si>
  <si>
    <t>III-1021 a III-1024 Hvozdnice – Bratřínov – BIM</t>
  </si>
  <si>
    <t>III/00715, III/00718, III/00719 Buštěhrad, průtah</t>
  </si>
  <si>
    <t>III/6031 Senohraby, průtah (etapa 1)</t>
  </si>
  <si>
    <t>Drahelčice, ulice Polní</t>
  </si>
  <si>
    <t>III/33011 Zvěřínek, most ev.č. 33011-2 přes říčku Výrovku za obcí Zvěřínek</t>
  </si>
  <si>
    <t>II/275 Luštěnice průtah, rekonstrukce</t>
  </si>
  <si>
    <t>II/331 Brandýs nad Labem - I/9, rekonstrukce silnice etapa 4 a etapa 6</t>
  </si>
  <si>
    <t>07997</t>
  </si>
  <si>
    <t>196/2025/ZDR</t>
  </si>
  <si>
    <t xml:space="preserve">Robotický operační systém </t>
  </si>
  <si>
    <t>2/2026</t>
  </si>
  <si>
    <t>změna financování - částka 376 tis. Kč převedena z r. 2025 do roku 2026</t>
  </si>
  <si>
    <t>10/2026</t>
  </si>
  <si>
    <t>08286</t>
  </si>
  <si>
    <t>08200</t>
  </si>
  <si>
    <t>08202</t>
  </si>
  <si>
    <t>08203</t>
  </si>
  <si>
    <t>08211</t>
  </si>
  <si>
    <t>08204</t>
  </si>
  <si>
    <t>08205</t>
  </si>
  <si>
    <t>08155</t>
  </si>
  <si>
    <t>464/2025/DOP</t>
  </si>
  <si>
    <t>465/2025/DOP</t>
  </si>
  <si>
    <t>466/2025/DOP</t>
  </si>
  <si>
    <t>467/2025/DOP</t>
  </si>
  <si>
    <t>468/2025/DOP</t>
  </si>
  <si>
    <t>469/2025/DOP</t>
  </si>
  <si>
    <t>470/2025/DOP</t>
  </si>
  <si>
    <t>471/2025/DOP</t>
  </si>
  <si>
    <t>472/2025/DOP</t>
  </si>
  <si>
    <t>473/2025/DOP</t>
  </si>
  <si>
    <t>474/2025/DOP</t>
  </si>
  <si>
    <t>475/2025/DOP</t>
  </si>
  <si>
    <t>477/2025/DOP</t>
  </si>
  <si>
    <t>478/2025/DOP</t>
  </si>
  <si>
    <t>479/2025/DOP</t>
  </si>
  <si>
    <t>463/2025/DOP</t>
  </si>
  <si>
    <t>Realizátor</t>
  </si>
  <si>
    <t>Pro organizaci</t>
  </si>
  <si>
    <t>Čerpání do 31.12. 2024</t>
  </si>
  <si>
    <t>Finanční prostředky r. 2025 - kap.12 - plán</t>
  </si>
  <si>
    <t>Aktualizace</t>
  </si>
  <si>
    <t>čerpání r.2021-24</t>
  </si>
  <si>
    <t>Kladno, Rakovník, Lysá n.L., Příbram, Beroun, Mělník</t>
  </si>
  <si>
    <t>Benešov, Vlašim, Čáslav, Kutná Hora</t>
  </si>
  <si>
    <t>Kolín, Kutná Hora, Mělník, Rakovník, Kralupy nad Vltavou</t>
  </si>
  <si>
    <t>4/2026</t>
  </si>
  <si>
    <t>481/2025/DOP</t>
  </si>
  <si>
    <t>II/229 Lišany, obchvat</t>
  </si>
  <si>
    <t>482/2025/DOP</t>
  </si>
  <si>
    <t>III/26820 Mukařov, most ev.č. 26820-6 přes potok v obci Mukařov</t>
  </si>
  <si>
    <t>483/2025/DOP</t>
  </si>
  <si>
    <t>III/32812 Pátek, most ev. č 32812-4</t>
  </si>
  <si>
    <t>485/2025/DOP</t>
  </si>
  <si>
    <t>III/25920 Boreč, most ev.č. 25920-1 přes strouhu před obcí Boreč</t>
  </si>
  <si>
    <t>486/2025/DOP</t>
  </si>
  <si>
    <t>III/24020 Zeměchy, most ev.č. 24020-1 přes Knovízský potok v obci Zeměchy</t>
  </si>
  <si>
    <t>487/2025/DOP</t>
  </si>
  <si>
    <t>III/22913 Olešná, rekonstrukce mostu ev.č. 22913-1 přes potok Olešná</t>
  </si>
  <si>
    <t>488/2025/DOP</t>
  </si>
  <si>
    <t>III/23916 Zlonice, most ev.č. 23916-2 přes Dřínovský potok</t>
  </si>
  <si>
    <t>490/2025/DOP</t>
  </si>
  <si>
    <t>III/11513 Jíloviště, most ev.č. 11513-1 přes D4 v obci Jíloviště</t>
  </si>
  <si>
    <t>491/2025/DOP</t>
  </si>
  <si>
    <t>III/11711 Osek, most ev.č. 11711-1</t>
  </si>
  <si>
    <t>492/2025/DOP</t>
  </si>
  <si>
    <t>VY11626 Mníšek pod Brdy, most ev.č. VY11626 – 1</t>
  </si>
  <si>
    <t>493/2025/DOP</t>
  </si>
  <si>
    <t>III/24513 Rostoklaty, most ev.č. 24513-1</t>
  </si>
  <si>
    <t>495/2025/DOP</t>
  </si>
  <si>
    <t>III/11819 Cetyně, most ev.č. 11819-1</t>
  </si>
  <si>
    <t>497/2025/DOP</t>
  </si>
  <si>
    <t>III/33348 Kostelec nad Černými lesy, propustek</t>
  </si>
  <si>
    <t>031-10/2025/RK ze dne 13.3.2025 012-04/2025/ZK ze dne 31.3.2025</t>
  </si>
  <si>
    <t>253/2025/SKOL</t>
  </si>
  <si>
    <t xml:space="preserve">Změna financování (převod 1 mil. Kč z r. 2025 do r. 2026)  </t>
  </si>
  <si>
    <t>07076</t>
  </si>
  <si>
    <t>Zateplení budovy školy Sped.a SOŠ Kladno - PD</t>
  </si>
  <si>
    <t>Střední pedagogická a Střední odborná škola, Kladno, příspěvková organizace</t>
  </si>
  <si>
    <t>255/2025/SKOL</t>
  </si>
  <si>
    <t xml:space="preserve">Gymnázium Jesenice - nová budova </t>
  </si>
  <si>
    <t>Gymnázium Jesenice</t>
  </si>
  <si>
    <t>08343</t>
  </si>
  <si>
    <t>269/2025/SOC</t>
  </si>
  <si>
    <t>Nákup bezbariového osobního vozidla pro vozíčkáře</t>
  </si>
  <si>
    <t>270/2025/SOC</t>
  </si>
  <si>
    <t>7/2027</t>
  </si>
  <si>
    <t>11/2026</t>
  </si>
  <si>
    <t>498/2025/DOP</t>
  </si>
  <si>
    <t>II/101 Břežanské údolí, sanace skalního svahu</t>
  </si>
  <si>
    <t>499/2025/DOP</t>
  </si>
  <si>
    <t>II/101 Dolní Břežany – Zbraslav</t>
  </si>
  <si>
    <t>500/2025/DOP</t>
  </si>
  <si>
    <t>II/115 Řevnice - Vižina, rekonstrukce II. etapa</t>
  </si>
  <si>
    <t>501/2025/DOP</t>
  </si>
  <si>
    <t>III/3399 a III/33914 Vlastějovice – Pavlovice</t>
  </si>
  <si>
    <t>502/2025/DOP</t>
  </si>
  <si>
    <t>Okružní křižovatka silnic II/608 x III/00812 x III/24021 - Nelahozeves</t>
  </si>
  <si>
    <t>Vnější venkovní schodiště (objekt garáže) v areálu Braunerova mlýna a vnitřní schodiště v objektu B v areálu zámku</t>
  </si>
  <si>
    <t>08336</t>
  </si>
  <si>
    <t>314/2025/KUL</t>
  </si>
  <si>
    <t>Znovupostavení kostela z Dolních Kralovic v areálu Muzea lidových staveb v Kouřimi</t>
  </si>
  <si>
    <t>273/2025/SOC</t>
  </si>
  <si>
    <t xml:space="preserve">Nákup pozemku Zdice </t>
  </si>
  <si>
    <t>Koniklec Suchomasty</t>
  </si>
  <si>
    <t>08314</t>
  </si>
  <si>
    <t>08214</t>
  </si>
  <si>
    <t>CELKEM 27 - Odbor digitalizace</t>
  </si>
  <si>
    <t>Limit čerpání r. 2025 - 0 mil. Kč z vlastních prostředků SK</t>
  </si>
  <si>
    <t>07819</t>
  </si>
  <si>
    <t>06326</t>
  </si>
  <si>
    <t>08356</t>
  </si>
  <si>
    <t>Nákup LV 3441, k. ú. Milovice nad Labem a pozemků v k. ú. Malé Přítočno</t>
  </si>
  <si>
    <t>08262</t>
  </si>
  <si>
    <t>08409</t>
  </si>
  <si>
    <t>08410</t>
  </si>
  <si>
    <t>4/2024/MAJ</t>
  </si>
  <si>
    <t>051-19/2025/RK ze dne 22.5.2025 014-05/2025/ZK ze dne 9.6.2025</t>
  </si>
  <si>
    <t>KÚSK</t>
  </si>
  <si>
    <t xml:space="preserve">Změna financování (převod 1,5 mil. Kč z r. 2025 do r. 2026)  </t>
  </si>
  <si>
    <t>08451</t>
  </si>
  <si>
    <t>256/2025/SKOL</t>
  </si>
  <si>
    <t>257/2025/SKOL</t>
  </si>
  <si>
    <t>Rekonstrukce střechy elektrotechnické dílny - SOŠ a SOU Hořovice</t>
  </si>
  <si>
    <t>Střední odborná škola a Střední odborné učiliště, Hořovice</t>
  </si>
  <si>
    <t>259/2025/SKOL</t>
  </si>
  <si>
    <t>Rekonstrukce vytápění školních dílen - SPŠ a VOŠ Kladno</t>
  </si>
  <si>
    <t>III/11411 Libomyšl II</t>
  </si>
  <si>
    <t>III/11216 Chmelná, havárie dvou propustků</t>
  </si>
  <si>
    <t>III/10513 Podělusy, opěrná zeď a komunikace</t>
  </si>
  <si>
    <t>II/120 – Sedlec – Prčice – hranice kraje, 16,976 – 11,566 km</t>
  </si>
  <si>
    <t>506/2025/DOP</t>
  </si>
  <si>
    <t>538/2025/DOP</t>
  </si>
  <si>
    <t>08008</t>
  </si>
  <si>
    <t>08295</t>
  </si>
  <si>
    <t>08455</t>
  </si>
  <si>
    <t>08459</t>
  </si>
  <si>
    <t>08139</t>
  </si>
  <si>
    <t>08456</t>
  </si>
  <si>
    <t>08457</t>
  </si>
  <si>
    <t>08480</t>
  </si>
  <si>
    <t>08481</t>
  </si>
  <si>
    <t>08483</t>
  </si>
  <si>
    <t>08484</t>
  </si>
  <si>
    <t>Zásobník investic Středočeského kraje na rok 2025 - aktualizace č. 4</t>
  </si>
  <si>
    <t>08498</t>
  </si>
  <si>
    <t>08499</t>
  </si>
  <si>
    <t>08500</t>
  </si>
  <si>
    <t>Kapitálové prostředky  (před akt. č. 4)</t>
  </si>
  <si>
    <t>Kapitálové prostředky  (po akt. č. 4)</t>
  </si>
  <si>
    <t>Priorita 10/2025     (hodnoty 1-4)</t>
  </si>
  <si>
    <t>Limit čerpání r. 2025 - 40,916 mil. Kč z vlastních prostředků SK</t>
  </si>
  <si>
    <t>Limity čerpání r. 2025 - 120 mil. Kč z vlastních prostředků SK</t>
  </si>
  <si>
    <t>Limit čerpání r. 2025 - 140 mil. Kč z vlastních prostředků SK</t>
  </si>
  <si>
    <t>Limity čerpání r. 2025 - 328,696 mil. Kč z vlastních prostředků SK, 100,523 mil. Kč z prostředků EIB</t>
  </si>
  <si>
    <t xml:space="preserve">Limit čerpání r. 2025 - 5 mil. Kč z vlastních prostředků SK </t>
  </si>
  <si>
    <t>Limity čerpání r. 2025 - 151 mil. Kč z vlastních prostředků SK, 100 mil. Kč z prostředků EIB</t>
  </si>
  <si>
    <t>080-28/2025/RK ze dne 21.8.2025  009-06/2025/ZK ze dne 8.9.2025</t>
  </si>
  <si>
    <t>08522</t>
  </si>
  <si>
    <t>změna financování - převod 1,545 mil. Kč z r. 2025 do r. 2026</t>
  </si>
  <si>
    <t>1/2030</t>
  </si>
  <si>
    <t>změna financování - převod 1,309 mil. Kč z r. 2027 do r. 2025</t>
  </si>
  <si>
    <t>Navýšení CN o 7 mil. Kč - Nákup zvýšeného počtu licencí pro informační systémy KÚ (licence NetWorker a dalších licencí Microsoft). Změna financování - převod 3,808 mil. Kč z r. 2025 do r. 2026</t>
  </si>
  <si>
    <t>Změna financování - převod 1,168 mil. Kč z r. 2025 do r. 2026.  Prostředky na rozšíření bezpečnostní infrastruktury KÚ, nákup switchů a SFP modulů</t>
  </si>
  <si>
    <t>Navýšení CN o 1 mil. Kč - Nutný nákup serverů, switchů pro IS KÚ a dalších zařízení dle potřeb KÚ. Změna financování - převod 3,007mil. Kč z r. 2025 do r. 2026 a 1 mil. Kč z r. 2025 do r. 2027</t>
  </si>
  <si>
    <t>Navýšení CN o 1 mil. Kč - Nákup nových racků do serverovny, obnova PC v sále zastupitelstva. Změna financování - převod 1,045 mil. Kč z r. 2025 do r. 2026</t>
  </si>
  <si>
    <t xml:space="preserve">Změna financování - převod 17 mil. Kč z r. 2025 do r. 2026.   </t>
  </si>
  <si>
    <t>Snížení CN o 4 tis. Kč - objednávka uhrazena za nižší náklady. Nebude se již dočerpávat.</t>
  </si>
  <si>
    <t>33/2025/OVM</t>
  </si>
  <si>
    <t>vozidlo pro Oddělení podpory P+R</t>
  </si>
  <si>
    <t>34/2025/OVM</t>
  </si>
  <si>
    <t>SW pro dohledové centrum P+R</t>
  </si>
  <si>
    <t>35/2025/OVM</t>
  </si>
  <si>
    <t>Výstavba parkovacího domu Kolín</t>
  </si>
  <si>
    <t>zvýšení mobility pracovníků</t>
  </si>
  <si>
    <t>zajištění provozu P+R parkoviště</t>
  </si>
  <si>
    <t>navýšení kapacity parkování</t>
  </si>
  <si>
    <t>změna financování - převod 668 tis. Kč z r. 2025 do r. 2026</t>
  </si>
  <si>
    <t xml:space="preserve">Změna financování - převod 1,573 mil. Kč z r. 2025 do r. 2026 a 1 mil. Kč z r. 2025 do r. 2027.   Nákup potřebného programového vybavení, rozšíření stávajících systémů užívaných na KÚ.  </t>
  </si>
  <si>
    <t>12/2027</t>
  </si>
  <si>
    <t>snížení CN o 1,742 mil. Kč po upřesnění na základě skutečně vyfakturovaných částek</t>
  </si>
  <si>
    <t>navýšení CN o 35,268 mil. Kč na základě finální ZD, smlouvy s TDS a BOZP a zbývající části přípravy, změna financování - převod 40,943 mil. Kč z r. 2025 do r. 2026 a 4,057 mil. Kč z r. 2025 do r. 2027</t>
  </si>
  <si>
    <t>změna financování - převod 200 tis. Kč z r. 2025 do r. 2027</t>
  </si>
  <si>
    <t>08497</t>
  </si>
  <si>
    <t>08542</t>
  </si>
  <si>
    <t xml:space="preserve">Akce je přeložena do roku 2027 z důvodu přepracovávání PD </t>
  </si>
  <si>
    <t>Změna financování - převod 2 mil. Kč z r. 2025 do r. 2026.  Z důvodu dlouhotrvajícího staveb. řzení bude realizační PD ukončena až v roce 2026</t>
  </si>
  <si>
    <t>Navýšení CN o 86,883 mil. Kč (změna způsobu financování-v průběhu výběru zhotovitele byla ukončena výzva na poskytnutí dotace. Přeřazeno ze Zásobníku projektů). Změna názvu akce z důvodu sjednocení s názvem stavby. Změna financování - převod 25 mil. Kč z r. 2025 do r. 2026.</t>
  </si>
  <si>
    <t>Změna financování - převod 30 mil. Kč z r. 2025 do r. 2026.  Z důvodu odvolávání účastníku VZ k ÚHOS posunuto zahájení realizace akce o cca 2 měsíce. Akce zahájena až v 8/2025</t>
  </si>
  <si>
    <t>051-06/2023/RK ze dne 9.2.2023 015-22/2023/ZK ze dne 27.2.2023</t>
  </si>
  <si>
    <t>Změna financování - převod 300 tis. Kč z r. 2025 do r. 2026.  Z důvodu nepřipravenosti PBŘ nelze zatím organizaci připojit na CPO</t>
  </si>
  <si>
    <t>Změna financování - převod 1,5 mil. Kč z r. 2025 do r. 2026.  Z důvodu zahájení akce až v 9/2025 bude akce ukončena až v roce 2026</t>
  </si>
  <si>
    <t>Navýšení CN o 613  tis. Kč z důvodu doplňujících požadavků PBŘ + Chodbové hliníkové protipožární uzávěry - dveře.</t>
  </si>
  <si>
    <t>Změna financování - převod 7 mil. Kč z r. 2025 do r. 2026.  Z důvodu trvalých připomínek ÚPP k realizaci rekonstrukce krovo s požadavkem na restaurování krovu s použitím dobových technik je akce opět posunuta na další období.</t>
  </si>
  <si>
    <t>Změna financování - převod 303 tis. Kč z r. 2025 do r. 2026.  Z důvodu probíhajícího plnění požadavků PBŘ bude objekt napojen až v roce 2026</t>
  </si>
  <si>
    <t>Snížení CN o 6 tis. Kč</t>
  </si>
  <si>
    <t>Snížení CN o 306 tis. Kč</t>
  </si>
  <si>
    <t>Snížení CN o 894 tis. Kč z důvodu užití moderních technologii.</t>
  </si>
  <si>
    <t>Snížení CN o 157 tis. Kč</t>
  </si>
  <si>
    <t>Změna financování - převod 7 mil. Kč z r. 2025 do r. 2026.  Z důvodu kompletní změny PD je akce přesunuta na rok 2026 a 2027</t>
  </si>
  <si>
    <t>Změna financování - převod 1,6 mil. Kč z r. 2025 do r. 2026.  Akce přesunuta do roku 2026 z důvodu nutných úprav před zahájením rekonstrukce výtahu</t>
  </si>
  <si>
    <t>Signalizační komunikační systém pro klienty a zaměstnance – rozšíření (Vojkov)</t>
  </si>
  <si>
    <t>Navýšení CN o 220 tis. Kč v průběhu VZ, změna názvu akce - předmět zůstal stejný.</t>
  </si>
  <si>
    <t>Snížení CN o 540 tis. Kč</t>
  </si>
  <si>
    <t>Změna financování - převod 1,6 mil. Kč z r. 2025 do r. 2026.  Akce vysoutěžena až v 10/2025 a tudíž bude probíhat plnění i v roce 2026</t>
  </si>
  <si>
    <t>Snížení CN o 17 tis. Kč</t>
  </si>
  <si>
    <t>Změna způsobu financování - v důsledku nutnosti dalších investic v let. roce, hrazených z FI PO, je celá akce hrazena z ZI SK (převod 850 tis. Kč z jiných zdrojů-vlastních prostředků PO)</t>
  </si>
  <si>
    <t>Změna způsobu financování - v důsledku nutnosti dalších investic v let. roce, hrazených z FI PO, je celá akce hrazena z ZI SK (převod 1,68 mil. Kč z jiných zdrojů-vlastních prostředků PO)</t>
  </si>
  <si>
    <t>Změna financování - přesun 24 mil. Kč z r. 2025 do r. 2026.  Nákup pozemku posunut do roku 2026 z důvodu rozhodnutí Rady SK - jednání o ceně</t>
  </si>
  <si>
    <t>280/2025/SOC</t>
  </si>
  <si>
    <t>Rekonstrukce 4. pavilonu na domácnost DOZP</t>
  </si>
  <si>
    <t>281/2025/SOC</t>
  </si>
  <si>
    <t>Rekonstrukce RD na DOZP Šanov - Domino</t>
  </si>
  <si>
    <t>Domov Domino</t>
  </si>
  <si>
    <t>Rekonstrukce pořízené nemovitosti zejména z důvodu splnění bezbarierovosti</t>
  </si>
  <si>
    <t>282/2025/SOC</t>
  </si>
  <si>
    <t>Přístavba objektu Domov u Anežky Luštenice - GASTROVYBAVENÍ</t>
  </si>
  <si>
    <t xml:space="preserve">Stavební úpravy - Humanizace Domova na Hrádku - Projektová dokumentace </t>
  </si>
  <si>
    <t>Domov Na Hrádku</t>
  </si>
  <si>
    <t>284/2025/SOC</t>
  </si>
  <si>
    <t>Kompletní výměna oken (3 sklo) - DZR Luštěnice</t>
  </si>
  <si>
    <t>Domov U Anežky Luštěnice</t>
  </si>
  <si>
    <t>náhrada již nepoužitelných oken - zlepšení tepelně izolačních a protihlukových vlastností</t>
  </si>
  <si>
    <t>285/2025/SOC</t>
  </si>
  <si>
    <t>Zateplení obvodových plášťů - DZR Luštěnice 1. etapa</t>
  </si>
  <si>
    <t>Nutná oprava, zlepšení tepelně izolačních vlastností</t>
  </si>
  <si>
    <t>286/2025/SOC</t>
  </si>
  <si>
    <t>Vestavěné skříně Dobříš</t>
  </si>
  <si>
    <t>Náhrada starých nevyhovujících skříní-zvýšení komfortu klientů</t>
  </si>
  <si>
    <t>Snížení CN o 21 tis. Kč</t>
  </si>
  <si>
    <t>Změna financování - převod 1,978 mil. Kč z r. 2025 do r. 2026.  Akce přesunuta do roku 2026 - probíhá stavební řízení</t>
  </si>
  <si>
    <t>08344</t>
  </si>
  <si>
    <t>v tis. Kč vč. DPH</t>
  </si>
  <si>
    <t>3/2025/DIG</t>
  </si>
  <si>
    <t>Portál dopravce StČ</t>
  </si>
  <si>
    <t>Navýšení CN o 10 mil. Kč z důvodu doplňujících požadavků na požární zabezpečení, stavební řízení probíhá již 4 měsíce</t>
  </si>
  <si>
    <t>Navýšení CN o 291 tis. Kč, z důvodu určení předběžné ceny na základě průzkumu trhu.</t>
  </si>
  <si>
    <t>Z důvodu humanizace zařízení je nutno změnit vnitřní dispozice pavilonu na tzv. domácnosti</t>
  </si>
  <si>
    <t>Gastrovybavení nové budovy, kompletní gastrovybavení tzn. velkokapacitní kuchyně není součástí stavební akce Přístavba objektu Domov U Anežky z důvodu požadavku st. orgánů na vysoutěžení samostatně.</t>
  </si>
  <si>
    <t>Humanizace Domova na Hrádku je nutná z důvodu již nevyhovujících vícelůžkových pokojů včetně kompletní mobility</t>
  </si>
  <si>
    <t>2/2027</t>
  </si>
  <si>
    <t>změna financování - převod 90 mil. Kč z r. 2025 do r. 2026</t>
  </si>
  <si>
    <t xml:space="preserve">Změna financování (převod 516 tis. Kč z r. 2025 do r. 2026)  </t>
  </si>
  <si>
    <t>Změna financování. Převod 2 mil. z r. 2025 do r. 2026.</t>
  </si>
  <si>
    <t xml:space="preserve">Změna financování (převod 2,5 mil. Kč z r. 2025 do r. 2026)  </t>
  </si>
  <si>
    <t>Snížení celkových nákladů o 754 tis. Kč na základě reality z vysoutěžené veřejné zakázky</t>
  </si>
  <si>
    <t xml:space="preserve">Změna financování (převod 600 tis. Kč z r. 2025 do r. 2026)  </t>
  </si>
  <si>
    <t xml:space="preserve">Změna financování (převod 4,5 mil. Kč z r. 2025 do r. 2026)  </t>
  </si>
  <si>
    <t>048-23/2023/RK ze dne 8.6.2023 015-26/2023/ZK ze dne 26.6.2024</t>
  </si>
  <si>
    <t xml:space="preserve">Změna financování (převod 3,9 mil. Kč z r. 2025 do r. 2026)  </t>
  </si>
  <si>
    <t>048-23/2023/RK ze dne 8.6.2023 015-26/2023/ZK ze dne 26.6.2025</t>
  </si>
  <si>
    <t>Změna financování. Převod 2,5 mil. z r. 2025 do r. 2026.</t>
  </si>
  <si>
    <t>048-23/2023/RK ze dne 8.6.2023 015-26/2023/ZK ze dne 26.6.2027</t>
  </si>
  <si>
    <t xml:space="preserve">Změna financování (převod 35 mil. Kč z r. 2025 do r. 2026)  </t>
  </si>
  <si>
    <t>Změna financování. Převod 15 mil. z r. 2025 do r. 2026.</t>
  </si>
  <si>
    <t>7/2026</t>
  </si>
  <si>
    <t xml:space="preserve">Změna financování (převod 5 mil. Kč z r. 2025 do r. 2026)  </t>
  </si>
  <si>
    <t xml:space="preserve">Změna financování (převod 100 tis. Kč z r. 2026 do r. 2025)  </t>
  </si>
  <si>
    <t xml:space="preserve">Změna financování (převod 200 tis. Kč z r. 2026 do r. 2025)  </t>
  </si>
  <si>
    <t>Snížení celkových nákladů o 265 tis. Kč na základě reality z vysoutěžené veřejné zakázky</t>
  </si>
  <si>
    <t>Snížení celkových nákladů o 305 tis. Kč na základě reality z vysoutěžené veřejné zakázky</t>
  </si>
  <si>
    <t>Snížení celkových nákladů o 120 tis. Kč na základě reality z vysoutěžené veřejné zakázky</t>
  </si>
  <si>
    <t>Snížení celkových nákladů o 373 tis. Kč na základě reality z vysoutěžené veřejné zakázky</t>
  </si>
  <si>
    <t xml:space="preserve">Změna financování (převod 2,9 mil. Kč z r. 2025 do r. 2026)  </t>
  </si>
  <si>
    <t>Snížení celkových nákladů o 66 tis. Kč na základě reality z vysoutěžené veřejné zakázky</t>
  </si>
  <si>
    <t xml:space="preserve">Změna financování (převod 2,3 mil. Kč z r. 2025 do r. 2026)  </t>
  </si>
  <si>
    <t xml:space="preserve">Změna financování (převod 500 tis. Kč z r. 2025 do r. 2026)  </t>
  </si>
  <si>
    <t xml:space="preserve">Změna financování (převod 400 tis. Kč z r. 2025 do r. 2026)  </t>
  </si>
  <si>
    <t>ZUŠ Hořovice - Rekonstrukce elektroinstalace</t>
  </si>
  <si>
    <t xml:space="preserve">Změna financování (převod 200 tis. Kč z r. 2025 do r. 2026)  </t>
  </si>
  <si>
    <t>Rekonstrukce elektro rozvodů v budově DM SOŠ a SOU Nymburk - PD</t>
  </si>
  <si>
    <t>Střední odborná škola a Střední odborné učiliště, Nymburk, V Kolonii 1804</t>
  </si>
  <si>
    <t>Rekonstrukce školní kuchyně SOŠ a SOU Nymburk - PD</t>
  </si>
  <si>
    <t>Rekonstrukce DM SŠ letecké a výpočetní techniky Odolená Voda - PD</t>
  </si>
  <si>
    <t>Střední škola letecké a výpočetní techniky, Odolena Voda, U Letiště 370</t>
  </si>
  <si>
    <t>Výstavba nové tělocvičny SOŠ a SOU dopravní Čáslav - SP</t>
  </si>
  <si>
    <t>Střední odborná škola a Střední odborné učiliště dopravní Čáslav, příspěvková organizace</t>
  </si>
  <si>
    <t xml:space="preserve">Rekonstrukce a modernizace venkovního sportoviště SOU Slaný </t>
  </si>
  <si>
    <t>Rekonstrukce školní kuchyně a jídelny SOU a PŠ Kladno-Vrapice - PD</t>
  </si>
  <si>
    <t>Střední odborné učiliště a Praktická škola Kladno - Vrapice, příspěvková organizace</t>
  </si>
  <si>
    <t>změna způsobu financování - hrazeno z FI PO</t>
  </si>
  <si>
    <t>Odstranění havarijního stavu + umožnění výměny výtahů</t>
  </si>
  <si>
    <t>splnění požadavků dle bezpečnostních, požárních a hygienických norem</t>
  </si>
  <si>
    <t>modernizace, zateplení (snížení energetické náročnosti)</t>
  </si>
  <si>
    <t>všestranné využití pro více příspěvkových organizací</t>
  </si>
  <si>
    <t>Modernizace pro splnění bezpečnostních a provozních podmínek pro tělesnou výchovu žáků.</t>
  </si>
  <si>
    <t xml:space="preserve">Modernizace pro splnění bezpečnostních, požárních a hygienických norem </t>
  </si>
  <si>
    <t>Areál ředitelství a cestmistrovství Krajské správy a údržby silnic Středočeského kraje, p.o</t>
  </si>
  <si>
    <t>Změna názvu položky dle smluvních vztahů.</t>
  </si>
  <si>
    <t>snížení CN o 200 tis Kč ZBV</t>
  </si>
  <si>
    <t>zvýšení o 260 tis Kč ZBV</t>
  </si>
  <si>
    <t>snížení CN o 560 tis Kč</t>
  </si>
  <si>
    <t>zvýšení CN o 1,6 mil Kč ZBV</t>
  </si>
  <si>
    <t>Zvýšení CN o 300 tis Kč ZBV</t>
  </si>
  <si>
    <t>zvýšení CN o 2,2, mil Kč ZBV</t>
  </si>
  <si>
    <t>snížení CN o 1,047 mil Kč ZBV</t>
  </si>
  <si>
    <t>II/116, III/11626 a III/11624 Mnišek pod Brdy - část 1</t>
  </si>
  <si>
    <t>zvýšení CN o 2,225 mil Kč , ZBV</t>
  </si>
  <si>
    <t>546/2025/DOP</t>
  </si>
  <si>
    <t>III/12136 Prčice – Mrákotice – kř.II/121</t>
  </si>
  <si>
    <t>547/2025/DOP</t>
  </si>
  <si>
    <t>II/240 Černuc, přestavba mostu ev. 240-027 na propustek</t>
  </si>
  <si>
    <t>548/2025/DOP</t>
  </si>
  <si>
    <t>II/605 Bavoryně - Králův Dvůr</t>
  </si>
  <si>
    <t>čerpání r. 2025</t>
  </si>
  <si>
    <t>změna financování - částka 17,5 mil. Kč převedena z r. 2026 do roku 2027+</t>
  </si>
  <si>
    <t>změna financování - částka 11,8 mil. Kč převedena z r. 2026 do roku 2027+</t>
  </si>
  <si>
    <t>změna financování - částka 510 tis. Kč převedena z r. 2025 do roku 2027+ a částka 48,092 mil. Kč převedena z r. 2026 do roku 2027+</t>
  </si>
  <si>
    <t>změna financování - částka 985 tis. Kč převedena z r. 2025 do roku 2026</t>
  </si>
  <si>
    <t>změna financování - částka 3,571 mil. Kč převedena z r. 2025 do roku 2026</t>
  </si>
  <si>
    <t>změna financování - částka 325 tis. Kč převedena z r. 2026 do roku 2027+</t>
  </si>
  <si>
    <t>snížení CN o 76 tis. Kč</t>
  </si>
  <si>
    <t>změna financování - částka 90,913 mil. Kč převedena z r. 2026 do roku 2027+</t>
  </si>
  <si>
    <t>navýšení CN o 200 tis. Kč - důvodem je meziroční nárůst cen automobilů</t>
  </si>
  <si>
    <t>snížení CN o 19,273 mil. Kč, akce přesunuta do Zásobníku projektů</t>
  </si>
  <si>
    <t>snížení CN o 593 tis. Kč</t>
  </si>
  <si>
    <t>změna financování - částka 38,524 mil. Kč převedena z r. 2026 do roku 2027+</t>
  </si>
  <si>
    <t>snížení CN o 3,004 mil. Kč, akce přesunuta do Zásobníku projektů</t>
  </si>
  <si>
    <t>změna financování - částka 3,5 mil. Kč převedena z r. 2026 do roku 2027+</t>
  </si>
  <si>
    <t>snížení CN o 24 tis. Kč</t>
  </si>
  <si>
    <t>změna financování - částka 6,452 mil. Kč převedena z r. 2026 do roku 2027+</t>
  </si>
  <si>
    <t>navýšení CN o 12,5 mil. Kč - důvodem je realizace koncepce sbírkotvorné činnosti PO se zaměřením na rozšiřování sbírek nákupem předmětů v letech 2026-2030</t>
  </si>
  <si>
    <t>12/2030</t>
  </si>
  <si>
    <t>snížení CN o 774 tis. Kč</t>
  </si>
  <si>
    <t>snížení CN o 306 tis. Kč</t>
  </si>
  <si>
    <t>změna financování - částka 200 tis. Kč převedena z r. 2026 do roku 2025 a částka 1,15 mil. Kč z roku 2026 do roku 2027+</t>
  </si>
  <si>
    <t>10/2027</t>
  </si>
  <si>
    <t>snížení CN o 5,699 mil. Kč, investiční akce přesunuta do Zásobníku projektů - národní zdoje, schválena dotace MK</t>
  </si>
  <si>
    <t>změna financování - částka 10,562 mil. Kč převedena z r. 2026 do roku 2027+</t>
  </si>
  <si>
    <t>změna financování - částka 10,6 mil. Kč převedena z r. 2026 do roku 2027+</t>
  </si>
  <si>
    <t>změna financování - částka 1 mil. Kč převedena z r. 2026 do roku 2027+</t>
  </si>
  <si>
    <t>změna financování - částka 262,546 mil. Kč převedena z r. 2026 do roku 2027+</t>
  </si>
  <si>
    <t>snížení CN o 6,104 mil. Kč, akce přesunuta do Zásobníku projektů</t>
  </si>
  <si>
    <t>změna financování - částka 3,569 mil. Kč převedena z r. 2025 do roku 2026</t>
  </si>
  <si>
    <t>změna financování - částka 124,6 mil. Kč převedena z r. 2026 do roku 2027+</t>
  </si>
  <si>
    <t>snížení CN o 3,739 mil. Kč, akce přesunuta do Zásobníku projektů</t>
  </si>
  <si>
    <t>snížení CN o 142,991 mil. Kč, akce přesunuta do Zásobníku akcí</t>
  </si>
  <si>
    <t>změna financování - částka 31,2 mil. Kč převedena z r. 2026 do roku 2027+</t>
  </si>
  <si>
    <t>změna způsobu financování - akce přesunuta do Zásobníku akcí (původní celkové náklady 310,669 mil. Kč,)</t>
  </si>
  <si>
    <t>snížení CN o 316 tis. Kč</t>
  </si>
  <si>
    <t>změna financování - částka 32,746 mil. Kč převedena z r. 2026 do roku 2027+</t>
  </si>
  <si>
    <t>změna financování - částka 49,888 mil. Kč převedena z r. 2026 do roku 2027+</t>
  </si>
  <si>
    <t>změna financování - částka 2,42 mil. Kč převedena z r. 2025 do roku 2026</t>
  </si>
  <si>
    <t>změna financování - částka 34,545 mil. Kč převedena z r. 2026 do roku 2027+</t>
  </si>
  <si>
    <t>316/2025/KUL</t>
  </si>
  <si>
    <t>Multimediální aplikace pro Geopark Brd a Podbrdska</t>
  </si>
  <si>
    <t>zvýšení zákaznické přitažlivosti (aplikace provede návštěvníky Geoparkem a jeho blízkým okolím - atraktivní, hravá a smyslově podmanivá forma)</t>
  </si>
  <si>
    <t>08545</t>
  </si>
  <si>
    <t>Změna financování - převod 8,8 mil. Kč z r. 2025 do r. 2026</t>
  </si>
  <si>
    <t>Změna financování – převod  1 mil . Kč  z r. 2025 do r. 2026.   Stavebně dokončeno</t>
  </si>
  <si>
    <t>Změna financování - převod 9,7 mil. Kč z r. 2025 do r. 2026</t>
  </si>
  <si>
    <t>Změna financování - převod 7 mil. Kč z r. 2025 do r. 2026</t>
  </si>
  <si>
    <t>snížení CN o 8 tis. Kč</t>
  </si>
  <si>
    <t>38/2025/OHS</t>
  </si>
  <si>
    <t>Elektromotorické ovládání vstupních dveří (vstup A) a napojení dveří a vvjezdových vrat na systém EPS v budově</t>
  </si>
  <si>
    <t>zvýšení bezpečnosti osob v budově</t>
  </si>
  <si>
    <t>39/2025/OHS</t>
  </si>
  <si>
    <t>Stavební opravy spojovacího můstku včetně rozšíření zakrytí ocelové konstrukce</t>
  </si>
  <si>
    <t>oprava fasády po provedené výměně oken, rozšíření zakrytí ocelové konstukce</t>
  </si>
  <si>
    <t xml:space="preserve">Změna financování - převod 3,615 mil. Kč z r. 2025 do r. 2026.      Obecná akce, z níž se financuje vícero menších demoličních zakázek pro SOC a ŠKS, které tyto odbory žádají po MAJ. </t>
  </si>
  <si>
    <t>digitalizace dnes manuálního procesu</t>
  </si>
  <si>
    <t>změna financování – převod 5 mil Kč z roku 2025 do roku 2027</t>
  </si>
  <si>
    <t>změna financování – převod 3 mil Kč z roku 2025 do roku 2027</t>
  </si>
  <si>
    <t>změna financování – převod 25 mil Kč z roku 2025 do roku 2027</t>
  </si>
  <si>
    <t>změna financování – převod 4 mil Kč z roku 2025 do roku 2026</t>
  </si>
  <si>
    <t>změna financování – převod 1 mil Kč z roku 2025 z roku 2026</t>
  </si>
  <si>
    <t>změna financování – převod 10 mil Kč z roku 2025 do roku 2026</t>
  </si>
  <si>
    <t>změna financování – převod 318 tis Kč z roku 2025 do roku 2027</t>
  </si>
  <si>
    <t>změna financování – převod 5 mil Kč z roku 2026 do roku 2025</t>
  </si>
  <si>
    <t>změna financování – převod 24,961 mil Kč z roku 2025 do roku 2026</t>
  </si>
  <si>
    <t>snížení CN o 415 tis Kč, ZBV</t>
  </si>
  <si>
    <t>změna financování – převod 90 tis. Kč z roku 2025 do roku 2026</t>
  </si>
  <si>
    <t>změna financování – převod 18 mil Kč z roku 2025 do roku 2026</t>
  </si>
  <si>
    <t>změna financování – převod 4,1 mil Kč z roku 2025 do roku 2026</t>
  </si>
  <si>
    <t>změna financování – převod 5,357 mil Kč z roku 2025 do 2026</t>
  </si>
  <si>
    <t>změna financování – převod 4,645 mil Kč z roku 2026 do 2025</t>
  </si>
  <si>
    <t>změna financování – převod 9,5 mil Kč z roku 2025 do roku 2026</t>
  </si>
  <si>
    <t>změna financování – převod 1 mil Kč z roku 2025 do roku 2026</t>
  </si>
  <si>
    <t>změna financování – převod 6 mil Kč z zroku 2026 do 2025</t>
  </si>
  <si>
    <t>změna financování – převod 5 mil Kč z roku 2025 do roku 2026</t>
  </si>
  <si>
    <t>změna financování – převod 300 tis. Kč z roku 2025 do roku 2026</t>
  </si>
  <si>
    <t>změna financování – převod 500 tis. Kč z roku 2025 do roku 2026</t>
  </si>
  <si>
    <t>změna financování – převod 2,2 mil Kč z 2026 do 2025</t>
  </si>
  <si>
    <t>změna financování – převod 10 mil Kč z roku 2025 do 2026</t>
  </si>
  <si>
    <t>změna financování – převod 1,2 mil Kč z roku 2026 do 2025</t>
  </si>
  <si>
    <t>změna financování – převod 500 tis Kč z roku 2025 do roku 2027</t>
  </si>
  <si>
    <t>změna financování – převod 2,3 mil Kč z roku 2026 do 2025</t>
  </si>
  <si>
    <t>změna financování – převod 1,4 mil Kč z roku 2025 do roku 2026</t>
  </si>
  <si>
    <t>změna financování – převod 30 mil Kč z roku 2025 do roku 2027</t>
  </si>
  <si>
    <t>snížení CN o 5,854mil Kč soutěží</t>
  </si>
  <si>
    <t>změna financování – převod 7,7 mil Kč z roku 2025 do 2027, převod mezi roky 2026 a 2027</t>
  </si>
  <si>
    <t>změna způsobu financování, přesun do SFDI</t>
  </si>
  <si>
    <t>změna financování – převod 2,7 mil Kč z roku 2025 do 2026</t>
  </si>
  <si>
    <t>změna financování – převod 7 mil Kč z roku 2025 do roku 2026</t>
  </si>
  <si>
    <t>změna financování – převod 500 tis Kč z roku 2025 do roku 2026</t>
  </si>
  <si>
    <t>změna financování – převod 1,9 mil Kč z roku 2026 do roku 2025</t>
  </si>
  <si>
    <t>změna financování – převod 32 mil Kč z roku 2026 do roku 2025</t>
  </si>
  <si>
    <t>změna financování, přesun 6 mil Kč z roku 2026 do roku 2025</t>
  </si>
  <si>
    <t>změna financování – převod 11 mil Kč z roku 2025 do roku 2026</t>
  </si>
  <si>
    <t>změna financování – převod 3,2 mil Kč z roku 2026  do roku 2025</t>
  </si>
  <si>
    <t>změna financování – převod 7,294 mil Kč z roku 2026 do roku 2025</t>
  </si>
  <si>
    <t>změna financování – převod 29,534 mil Kč z roku 2025 do roku 2026</t>
  </si>
  <si>
    <t>změna financování – převod 18,18 mil Kč z roku 2025 do roku 2026</t>
  </si>
  <si>
    <t>změna financování – převod 11,478 mil Kč z roku 2025 do roku 2026</t>
  </si>
  <si>
    <t>změna financování – převod 20 mil Kč z roku 2025 do roku 2026 a mezi roky 2026 a 2027</t>
  </si>
  <si>
    <t>změna financování – převod 26,79 mil Kč do roku 2026</t>
  </si>
  <si>
    <t>změna financování – převod 20 mil Kč z roku 2025 do roku 2027</t>
  </si>
  <si>
    <t>změna financování – převod 6,97 mil Kč z roku 2025 do roku 2026</t>
  </si>
  <si>
    <t>změna financování – převod 1,703 mil Kč do roku 2026</t>
  </si>
  <si>
    <t>změna financování – převod 16,281 mil Kč z roku 2025 do roku 2026</t>
  </si>
  <si>
    <t>změna financování – převod 70 mil Kč z roku 2025 do roku 2027</t>
  </si>
  <si>
    <t>změna financování – převod 14,287 mil Kč z roku 2025 do roku 2026</t>
  </si>
  <si>
    <t>změna financování, převod 312 tis Kč z roku 2026 do roku 2025</t>
  </si>
  <si>
    <t>549/2025/DOP</t>
  </si>
  <si>
    <t xml:space="preserve">III/2273 Nový Dům, III/2333 Lašovice, III/2276 Svojetí, III/0273 Bedlno, III/2019,20120 Novosedly                          </t>
  </si>
  <si>
    <t>550/2025/DOP</t>
  </si>
  <si>
    <t xml:space="preserve">III/32912 Předhrádí – Sokoleč                                                                                                                                                        </t>
  </si>
  <si>
    <t>551/2025/DOP</t>
  </si>
  <si>
    <t xml:space="preserve">II/334 Ždánice – Radlice                                                                                                                                                                   </t>
  </si>
  <si>
    <t>552/2025/DOP</t>
  </si>
  <si>
    <t xml:space="preserve">III/6111 Jirny                                                                                                                                                                                       </t>
  </si>
  <si>
    <t>553/2025/DOP</t>
  </si>
  <si>
    <t xml:space="preserve">II/279 Žďár – Žehrov                                                                                                                                                                         </t>
  </si>
  <si>
    <t>změna financování, přesun 200 tis Kč z roku 2025 do roku 2026</t>
  </si>
  <si>
    <t>snížení CN o 500 tis. Kč, změna financování - převod 5,2 mil. Kč z r. 2026 a 2027+ do r. 2025 ,</t>
  </si>
  <si>
    <t>zvýšení CN o 875 tis Kč -ZBV,   změna financování - přesun 1,445 mil Kč z roku 2026 do roku 2025</t>
  </si>
  <si>
    <t>zvýšení CN o 210 tis Kč - ZBV</t>
  </si>
  <si>
    <t>Zvýšení CN o 7 mil Kč - ZBV</t>
  </si>
  <si>
    <t>zvýšení CN o 2,319 mil Kč - ZBV</t>
  </si>
  <si>
    <t>zvýšení CN o 2,5 mil Kč - ZBV</t>
  </si>
  <si>
    <t>zvýšení o 2,443 mil Kč - ZBV</t>
  </si>
  <si>
    <t>změna financování – převod 687 tis Kč z roku 2025 do roku 2026</t>
  </si>
  <si>
    <t>zvýšení CN o 1 mil Kč, změna financování - převod 10 mil Kč z  roku 2026 do 2025</t>
  </si>
  <si>
    <t xml:space="preserve">změna financování – převod 1 mil Kč z roku 2025 do roku 2026 </t>
  </si>
  <si>
    <t>změna financování – převod 995 tis. Kč z roku 2025 do 2026</t>
  </si>
  <si>
    <t>snížení CN o 4,024 mil Kč -  ZBV</t>
  </si>
  <si>
    <t>změna  způsobu financování – převod do jiného financování škody po zimě</t>
  </si>
  <si>
    <t>snížení CN o 16,5 mil Kč soutěží, změna finacování - převod 500 tis.kč z r. 2026 do r. 2025</t>
  </si>
  <si>
    <t>změna financování – převod 393 tis. Kč z roku 2025 do roku 2026</t>
  </si>
  <si>
    <t>změna financování – převod 28,5 mil Kč z roku 2025 do roku 2026</t>
  </si>
  <si>
    <t xml:space="preserve"> zvýšení CN o 2,1 mil Kč větším rozsahem,  změna financování – převod 23,4 mil Kč z roku 2025 do roku 2026</t>
  </si>
  <si>
    <t>změna financování – převod 350 tis Kč z roku 2025 do roku 2027</t>
  </si>
  <si>
    <t>zvýšení CN o 5,58 mil Kč větším rozsahem investiční akce,  změna financování – převod 11,558 mil Kč do roku 2026</t>
  </si>
  <si>
    <t>Navýšení CN o 109 tis. Kč - oprava chyby z min. aktualizace</t>
  </si>
  <si>
    <t>zvýšení CN o 479 tis Kč - ZBV</t>
  </si>
  <si>
    <t>změna financování – převod 30 mil Kč z roku 2025 do roku 2026</t>
  </si>
  <si>
    <t>změna způsobu financování, financování ze SFDI</t>
  </si>
  <si>
    <t>Limit čerpání r. 2025 - 62 mil. Kč z vlastních prostředků SK</t>
  </si>
  <si>
    <t>Limit čerpání r. 2025 - 11 mil. Kč z vlastních prostředků SK</t>
  </si>
  <si>
    <t>červené písmo (celý řádek) + poznámka (odůvodnění)</t>
  </si>
  <si>
    <t>Poznámka</t>
  </si>
  <si>
    <t>Limit čerpání r. 2025 - 230 mil. Kč z vlastních prostředků SK</t>
  </si>
  <si>
    <t xml:space="preserve">Limity čerpání r. 2025 - 1,449409 mld. Kč z vlastních prostředků SK,    25 mil. Kč z prostředků EIB </t>
  </si>
  <si>
    <t>součet limitů čerpání jednotlivých odborů (kapitol) pro r. 2025 - 2,597021 mld. Kč z vlastních prostředků SK,   225,523 mil. Kč z prostředků EIB</t>
  </si>
  <si>
    <t>Plán r. 2026+</t>
  </si>
  <si>
    <t>snížení CN o 14,544 mil. Kč, akce přesunuta do Zásobníku projektů, změna financování - převod 145 tis. Kč z r. 2026 do r. 2025</t>
  </si>
  <si>
    <t>Změna financování - převod 22,755 mil. Kč z r. 2025 do r. 2026.   Zkompletování souvisejících pozemků</t>
  </si>
  <si>
    <t>navýšení CN o 195 tis. Kč na základě nové objednávky na služby TDS a BOZP, změna financování - převod 107,838 mil. Kč z r. 2025 do r. 2026</t>
  </si>
  <si>
    <t>554/2025/DOP</t>
  </si>
  <si>
    <t>Rekonstrukce části budovy Jiráskova č.p. 1533, Mnichovo Hradiště</t>
  </si>
  <si>
    <t>038-20/2025/RK ze dne 29.5.2025</t>
  </si>
  <si>
    <t>snížení CN o 205 tis. Kč</t>
  </si>
  <si>
    <t>Čerpání v r.2025    (k 3.11.2025)</t>
  </si>
  <si>
    <t xml:space="preserve">Příloha č. 2 k USNESENÍ č. 015-07-2025-ZK ze dne 1. 12.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</si>
</sst>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000"/>
    <numFmt numFmtId="166" formatCode="#,##0.0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0"/>
      <color rgb="FF0000FB"/>
      <name val="Arial"/>
      <family val="2"/>
      <charset val="238"/>
    </font>
    <font>
      <sz val="10"/>
      <color rgb="FF0000FB"/>
      <name val="Arial"/>
      <family val="2"/>
      <charset val="238"/>
    </font>
    <font>
      <b/>
      <sz val="10"/>
      <color rgb="FF0000FB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8"/>
      <name val="Calibri"/>
      <family val="2"/>
      <scheme val="minor"/>
    </font>
    <font>
      <b/>
      <strike/>
      <sz val="10"/>
      <color rgb="FF0000FB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trike/>
      <sz val="12"/>
      <color rgb="FF0000FB"/>
      <name val="Arial"/>
      <family val="2"/>
      <charset val="238"/>
    </font>
    <font>
      <b/>
      <strike/>
      <sz val="12"/>
      <name val="Arial"/>
      <family val="2"/>
      <charset val="238"/>
    </font>
    <font>
      <b/>
      <sz val="24"/>
      <name val="Arial"/>
      <family val="2"/>
      <charset val="238"/>
    </font>
    <font>
      <sz val="11"/>
      <color rgb="FF0000FB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0000FB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0000FB"/>
      <name val="Arial"/>
      <family val="2"/>
      <charset val="238"/>
    </font>
    <font>
      <b/>
      <sz val="22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rgb="FF000000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5">
    <xf numFmtId="0" fontId="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" fillId="0" borderId="0"/>
    <xf numFmtId="0" fontId="2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164" fontId="2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2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906">
    <xf numFmtId="0" fontId="0" fillId="0" borderId="0" xfId="0"/>
    <xf numFmtId="0" fontId="11" fillId="0" borderId="0" xfId="0" applyFont="1" applyAlignment="1">
      <alignment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49" fontId="13" fillId="0" borderId="0" xfId="0" applyNumberFormat="1" applyFont="1" applyAlignment="1">
      <alignment horizontal="center" vertical="center"/>
    </xf>
    <xf numFmtId="0" fontId="13" fillId="5" borderId="18" xfId="0" applyFont="1" applyFill="1" applyBorder="1" applyAlignment="1">
      <alignment horizontal="center" vertical="center" wrapText="1"/>
    </xf>
    <xf numFmtId="4" fontId="13" fillId="5" borderId="18" xfId="1" applyNumberFormat="1" applyFont="1" applyFill="1" applyBorder="1" applyAlignment="1">
      <alignment horizontal="center" vertical="center" wrapText="1"/>
    </xf>
    <xf numFmtId="49" fontId="13" fillId="5" borderId="18" xfId="0" applyNumberFormat="1" applyFont="1" applyFill="1" applyBorder="1" applyAlignment="1">
      <alignment horizontal="center" vertical="center" wrapText="1"/>
    </xf>
    <xf numFmtId="3" fontId="13" fillId="5" borderId="18" xfId="1" applyNumberFormat="1" applyFont="1" applyFill="1" applyBorder="1" applyAlignment="1">
      <alignment horizontal="center" vertical="center" wrapText="1"/>
    </xf>
    <xf numFmtId="49" fontId="13" fillId="5" borderId="18" xfId="1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0" fontId="13" fillId="5" borderId="6" xfId="0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49" fontId="11" fillId="0" borderId="14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vertical="center"/>
    </xf>
    <xf numFmtId="49" fontId="18" fillId="0" borderId="14" xfId="0" applyNumberFormat="1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3" fontId="13" fillId="4" borderId="23" xfId="1" applyNumberFormat="1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3" fontId="13" fillId="2" borderId="23" xfId="1" applyNumberFormat="1" applyFont="1" applyFill="1" applyBorder="1" applyAlignment="1">
      <alignment vertical="center" wrapText="1"/>
    </xf>
    <xf numFmtId="3" fontId="11" fillId="2" borderId="37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13" fillId="2" borderId="26" xfId="1" applyNumberFormat="1" applyFont="1" applyFill="1" applyBorder="1" applyAlignment="1">
      <alignment vertical="center" wrapText="1"/>
    </xf>
    <xf numFmtId="3" fontId="11" fillId="2" borderId="25" xfId="0" applyNumberFormat="1" applyFont="1" applyFill="1" applyBorder="1" applyAlignment="1">
      <alignment vertical="center" wrapText="1"/>
    </xf>
    <xf numFmtId="49" fontId="11" fillId="2" borderId="26" xfId="0" applyNumberFormat="1" applyFont="1" applyFill="1" applyBorder="1" applyAlignment="1">
      <alignment horizontal="center" vertical="center" wrapText="1"/>
    </xf>
    <xf numFmtId="3" fontId="11" fillId="2" borderId="31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3" fontId="11" fillId="2" borderId="31" xfId="0" applyNumberFormat="1" applyFont="1" applyFill="1" applyBorder="1" applyAlignment="1">
      <alignment vertical="center"/>
    </xf>
    <xf numFmtId="3" fontId="11" fillId="2" borderId="26" xfId="0" applyNumberFormat="1" applyFont="1" applyFill="1" applyBorder="1" applyAlignment="1">
      <alignment vertical="center" wrapText="1"/>
    </xf>
    <xf numFmtId="3" fontId="11" fillId="2" borderId="2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3" fontId="13" fillId="2" borderId="13" xfId="1" applyNumberFormat="1" applyFont="1" applyFill="1" applyBorder="1" applyAlignment="1">
      <alignment vertical="center" wrapText="1"/>
    </xf>
    <xf numFmtId="3" fontId="11" fillId="2" borderId="25" xfId="0" applyNumberFormat="1" applyFont="1" applyFill="1" applyBorder="1" applyAlignment="1">
      <alignment vertical="center"/>
    </xf>
    <xf numFmtId="3" fontId="11" fillId="2" borderId="27" xfId="0" applyNumberFormat="1" applyFont="1" applyFill="1" applyBorder="1" applyAlignment="1">
      <alignment vertical="center" wrapText="1"/>
    </xf>
    <xf numFmtId="0" fontId="11" fillId="2" borderId="31" xfId="0" applyFont="1" applyFill="1" applyBorder="1" applyAlignment="1">
      <alignment horizontal="center" vertical="center" wrapText="1"/>
    </xf>
    <xf numFmtId="3" fontId="11" fillId="2" borderId="23" xfId="0" applyNumberFormat="1" applyFont="1" applyFill="1" applyBorder="1" applyAlignment="1">
      <alignment vertical="center"/>
    </xf>
    <xf numFmtId="0" fontId="11" fillId="2" borderId="26" xfId="0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vertical="center"/>
    </xf>
    <xf numFmtId="3" fontId="11" fillId="2" borderId="26" xfId="0" applyNumberFormat="1" applyFont="1" applyFill="1" applyBorder="1" applyAlignment="1">
      <alignment vertical="center"/>
    </xf>
    <xf numFmtId="3" fontId="11" fillId="4" borderId="26" xfId="0" applyNumberFormat="1" applyFont="1" applyFill="1" applyBorder="1" applyAlignment="1">
      <alignment vertical="center"/>
    </xf>
    <xf numFmtId="3" fontId="11" fillId="2" borderId="14" xfId="0" applyNumberFormat="1" applyFont="1" applyFill="1" applyBorder="1" applyAlignment="1">
      <alignment vertical="center" wrapText="1"/>
    </xf>
    <xf numFmtId="0" fontId="11" fillId="2" borderId="18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vertical="center" wrapText="1"/>
    </xf>
    <xf numFmtId="0" fontId="11" fillId="2" borderId="45" xfId="0" applyFont="1" applyFill="1" applyBorder="1" applyAlignment="1">
      <alignment horizontal="center" vertical="center" wrapText="1"/>
    </xf>
    <xf numFmtId="3" fontId="11" fillId="2" borderId="32" xfId="0" applyNumberFormat="1" applyFont="1" applyFill="1" applyBorder="1" applyAlignment="1">
      <alignment horizontal="center" vertical="center" wrapText="1"/>
    </xf>
    <xf numFmtId="3" fontId="11" fillId="2" borderId="13" xfId="0" applyNumberFormat="1" applyFont="1" applyFill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3" fillId="0" borderId="18" xfId="1" applyFont="1" applyBorder="1" applyAlignment="1">
      <alignment horizontal="center" vertical="center" wrapText="1"/>
    </xf>
    <xf numFmtId="4" fontId="13" fillId="0" borderId="18" xfId="0" applyNumberFormat="1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6" fontId="13" fillId="0" borderId="14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49" fontId="11" fillId="4" borderId="26" xfId="0" applyNumberFormat="1" applyFont="1" applyFill="1" applyBorder="1" applyAlignment="1">
      <alignment horizontal="center" vertical="center" wrapText="1"/>
    </xf>
    <xf numFmtId="3" fontId="13" fillId="2" borderId="25" xfId="1" applyNumberFormat="1" applyFont="1" applyFill="1" applyBorder="1" applyAlignment="1">
      <alignment vertical="center" wrapText="1"/>
    </xf>
    <xf numFmtId="0" fontId="11" fillId="2" borderId="22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69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72" xfId="0" applyNumberFormat="1" applyFont="1" applyBorder="1" applyAlignment="1">
      <alignment horizontal="center" vertical="center" wrapText="1"/>
    </xf>
    <xf numFmtId="3" fontId="13" fillId="0" borderId="14" xfId="0" applyNumberFormat="1" applyFont="1" applyBorder="1" applyAlignment="1">
      <alignment horizontal="center" vertical="center" wrapText="1"/>
    </xf>
    <xf numFmtId="49" fontId="11" fillId="4" borderId="22" xfId="0" applyNumberFormat="1" applyFont="1" applyFill="1" applyBorder="1" applyAlignment="1">
      <alignment horizontal="center" vertical="center" wrapText="1"/>
    </xf>
    <xf numFmtId="3" fontId="13" fillId="2" borderId="23" xfId="1" applyNumberFormat="1" applyFont="1" applyFill="1" applyBorder="1" applyAlignment="1">
      <alignment vertical="center"/>
    </xf>
    <xf numFmtId="3" fontId="11" fillId="2" borderId="58" xfId="0" applyNumberFormat="1" applyFont="1" applyFill="1" applyBorder="1" applyAlignment="1">
      <alignment vertical="center" wrapText="1"/>
    </xf>
    <xf numFmtId="3" fontId="11" fillId="2" borderId="21" xfId="0" applyNumberFormat="1" applyFont="1" applyFill="1" applyBorder="1" applyAlignment="1">
      <alignment vertical="center" wrapText="1"/>
    </xf>
    <xf numFmtId="3" fontId="11" fillId="2" borderId="24" xfId="0" applyNumberFormat="1" applyFont="1" applyFill="1" applyBorder="1" applyAlignment="1">
      <alignment vertical="center"/>
    </xf>
    <xf numFmtId="49" fontId="11" fillId="2" borderId="26" xfId="0" applyNumberFormat="1" applyFont="1" applyFill="1" applyBorder="1" applyAlignment="1">
      <alignment horizontal="center" vertical="center"/>
    </xf>
    <xf numFmtId="3" fontId="13" fillId="2" borderId="26" xfId="1" applyNumberFormat="1" applyFont="1" applyFill="1" applyBorder="1" applyAlignment="1">
      <alignment vertical="center"/>
    </xf>
    <xf numFmtId="3" fontId="11" fillId="2" borderId="36" xfId="0" applyNumberFormat="1" applyFont="1" applyFill="1" applyBorder="1" applyAlignment="1">
      <alignment vertical="center"/>
    </xf>
    <xf numFmtId="3" fontId="11" fillId="2" borderId="20" xfId="0" applyNumberFormat="1" applyFont="1" applyFill="1" applyBorder="1" applyAlignment="1">
      <alignment vertical="center"/>
    </xf>
    <xf numFmtId="3" fontId="11" fillId="2" borderId="47" xfId="0" applyNumberFormat="1" applyFont="1" applyFill="1" applyBorder="1" applyAlignment="1">
      <alignment vertical="center" wrapText="1"/>
    </xf>
    <xf numFmtId="3" fontId="11" fillId="2" borderId="20" xfId="0" applyNumberFormat="1" applyFont="1" applyFill="1" applyBorder="1" applyAlignment="1">
      <alignment vertical="center" wrapText="1"/>
    </xf>
    <xf numFmtId="3" fontId="11" fillId="2" borderId="32" xfId="0" applyNumberFormat="1" applyFont="1" applyFill="1" applyBorder="1" applyAlignment="1">
      <alignment vertical="center" wrapText="1"/>
    </xf>
    <xf numFmtId="3" fontId="11" fillId="2" borderId="32" xfId="0" applyNumberFormat="1" applyFont="1" applyFill="1" applyBorder="1" applyAlignment="1">
      <alignment horizontal="right" vertical="center"/>
    </xf>
    <xf numFmtId="3" fontId="11" fillId="2" borderId="26" xfId="0" applyNumberFormat="1" applyFont="1" applyFill="1" applyBorder="1" applyAlignment="1">
      <alignment horizontal="right" vertical="center"/>
    </xf>
    <xf numFmtId="3" fontId="13" fillId="2" borderId="13" xfId="1" applyNumberFormat="1" applyFont="1" applyFill="1" applyBorder="1" applyAlignment="1">
      <alignment vertical="center"/>
    </xf>
    <xf numFmtId="3" fontId="13" fillId="2" borderId="30" xfId="1" applyNumberFormat="1" applyFont="1" applyFill="1" applyBorder="1" applyAlignment="1">
      <alignment vertical="center" wrapText="1"/>
    </xf>
    <xf numFmtId="3" fontId="11" fillId="2" borderId="54" xfId="0" applyNumberFormat="1" applyFont="1" applyFill="1" applyBorder="1" applyAlignment="1">
      <alignment vertical="center"/>
    </xf>
    <xf numFmtId="3" fontId="11" fillId="2" borderId="19" xfId="0" applyNumberFormat="1" applyFont="1" applyFill="1" applyBorder="1" applyAlignment="1">
      <alignment vertical="center"/>
    </xf>
    <xf numFmtId="3" fontId="11" fillId="2" borderId="48" xfId="0" applyNumberFormat="1" applyFont="1" applyFill="1" applyBorder="1" applyAlignment="1">
      <alignment vertical="center"/>
    </xf>
    <xf numFmtId="3" fontId="11" fillId="2" borderId="48" xfId="0" applyNumberFormat="1" applyFont="1" applyFill="1" applyBorder="1" applyAlignment="1">
      <alignment vertical="center" wrapText="1"/>
    </xf>
    <xf numFmtId="3" fontId="11" fillId="4" borderId="24" xfId="0" applyNumberFormat="1" applyFont="1" applyFill="1" applyBorder="1" applyAlignment="1">
      <alignment vertical="center"/>
    </xf>
    <xf numFmtId="49" fontId="11" fillId="4" borderId="23" xfId="0" applyNumberFormat="1" applyFont="1" applyFill="1" applyBorder="1" applyAlignment="1">
      <alignment horizontal="center" vertical="center" wrapText="1"/>
    </xf>
    <xf numFmtId="49" fontId="20" fillId="2" borderId="26" xfId="0" applyNumberFormat="1" applyFont="1" applyFill="1" applyBorder="1" applyAlignment="1">
      <alignment horizontal="center" vertical="center" wrapText="1"/>
    </xf>
    <xf numFmtId="3" fontId="13" fillId="2" borderId="13" xfId="0" applyNumberFormat="1" applyFont="1" applyFill="1" applyBorder="1" applyAlignment="1">
      <alignment horizontal="right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vertical="center" wrapText="1"/>
    </xf>
    <xf numFmtId="3" fontId="11" fillId="2" borderId="36" xfId="0" applyNumberFormat="1" applyFont="1" applyFill="1" applyBorder="1" applyAlignment="1">
      <alignment vertical="center" wrapText="1"/>
    </xf>
    <xf numFmtId="3" fontId="11" fillId="2" borderId="54" xfId="0" applyNumberFormat="1" applyFont="1" applyFill="1" applyBorder="1" applyAlignment="1">
      <alignment vertical="center" wrapText="1"/>
    </xf>
    <xf numFmtId="0" fontId="11" fillId="11" borderId="23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3" fontId="11" fillId="0" borderId="68" xfId="0" applyNumberFormat="1" applyFont="1" applyBorder="1" applyAlignment="1">
      <alignment horizontal="center" vertical="center" wrapText="1"/>
    </xf>
    <xf numFmtId="49" fontId="15" fillId="2" borderId="26" xfId="0" applyNumberFormat="1" applyFont="1" applyFill="1" applyBorder="1" applyAlignment="1">
      <alignment horizontal="center" vertical="center" wrapText="1"/>
    </xf>
    <xf numFmtId="3" fontId="11" fillId="0" borderId="30" xfId="0" applyNumberFormat="1" applyFont="1" applyBorder="1" applyAlignment="1">
      <alignment horizontal="center" vertical="center" wrapText="1"/>
    </xf>
    <xf numFmtId="3" fontId="11" fillId="2" borderId="42" xfId="0" applyNumberFormat="1" applyFont="1" applyFill="1" applyBorder="1" applyAlignment="1">
      <alignment vertical="center" wrapText="1"/>
    </xf>
    <xf numFmtId="3" fontId="13" fillId="4" borderId="28" xfId="1" applyNumberFormat="1" applyFont="1" applyFill="1" applyBorder="1" applyAlignment="1">
      <alignment horizontal="right" vertical="center" wrapText="1"/>
    </xf>
    <xf numFmtId="3" fontId="13" fillId="2" borderId="14" xfId="1" applyNumberFormat="1" applyFont="1" applyFill="1" applyBorder="1" applyAlignment="1">
      <alignment vertical="center" wrapText="1"/>
    </xf>
    <xf numFmtId="3" fontId="11" fillId="4" borderId="26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3" fontId="13" fillId="4" borderId="2" xfId="1" applyNumberFormat="1" applyFont="1" applyFill="1" applyBorder="1" applyAlignment="1">
      <alignment horizontal="right" vertical="center" wrapText="1"/>
    </xf>
    <xf numFmtId="3" fontId="13" fillId="4" borderId="23" xfId="1" applyNumberFormat="1" applyFont="1" applyFill="1" applyBorder="1" applyAlignment="1">
      <alignment horizontal="right" vertical="center" wrapText="1"/>
    </xf>
    <xf numFmtId="3" fontId="13" fillId="4" borderId="26" xfId="1" applyNumberFormat="1" applyFont="1" applyFill="1" applyBorder="1" applyAlignment="1">
      <alignment horizontal="right" vertical="center" wrapText="1"/>
    </xf>
    <xf numFmtId="3" fontId="13" fillId="2" borderId="23" xfId="1" applyNumberFormat="1" applyFont="1" applyFill="1" applyBorder="1" applyAlignment="1">
      <alignment horizontal="right" vertical="center" wrapText="1"/>
    </xf>
    <xf numFmtId="3" fontId="11" fillId="2" borderId="24" xfId="0" applyNumberFormat="1" applyFont="1" applyFill="1" applyBorder="1" applyAlignment="1">
      <alignment horizontal="center" vertical="center" wrapText="1"/>
    </xf>
    <xf numFmtId="3" fontId="13" fillId="2" borderId="13" xfId="1" applyNumberFormat="1" applyFont="1" applyFill="1" applyBorder="1" applyAlignment="1">
      <alignment horizontal="right" vertical="center" wrapText="1"/>
    </xf>
    <xf numFmtId="3" fontId="11" fillId="2" borderId="61" xfId="0" applyNumberFormat="1" applyFont="1" applyFill="1" applyBorder="1" applyAlignment="1">
      <alignment vertical="center" wrapText="1"/>
    </xf>
    <xf numFmtId="3" fontId="11" fillId="2" borderId="23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vertical="center"/>
    </xf>
    <xf numFmtId="3" fontId="11" fillId="2" borderId="42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3" fontId="13" fillId="2" borderId="15" xfId="1" applyNumberFormat="1" applyFont="1" applyFill="1" applyBorder="1" applyAlignment="1">
      <alignment vertical="center"/>
    </xf>
    <xf numFmtId="3" fontId="11" fillId="2" borderId="61" xfId="0" applyNumberFormat="1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 wrapText="1"/>
    </xf>
    <xf numFmtId="3" fontId="13" fillId="2" borderId="26" xfId="1" applyNumberFormat="1" applyFont="1" applyFill="1" applyBorder="1" applyAlignment="1">
      <alignment horizontal="right" vertical="center" wrapText="1"/>
    </xf>
    <xf numFmtId="3" fontId="11" fillId="2" borderId="1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/>
    </xf>
    <xf numFmtId="3" fontId="13" fillId="2" borderId="4" xfId="1" applyNumberFormat="1" applyFont="1" applyFill="1" applyBorder="1" applyAlignment="1">
      <alignment horizontal="right" vertical="center" wrapText="1"/>
    </xf>
    <xf numFmtId="3" fontId="13" fillId="2" borderId="2" xfId="1" applyNumberFormat="1" applyFont="1" applyFill="1" applyBorder="1" applyAlignment="1">
      <alignment horizontal="right" vertical="center" wrapText="1"/>
    </xf>
    <xf numFmtId="3" fontId="13" fillId="4" borderId="31" xfId="1" applyNumberFormat="1" applyFont="1" applyFill="1" applyBorder="1" applyAlignment="1">
      <alignment horizontal="right" vertical="center" wrapText="1"/>
    </xf>
    <xf numFmtId="3" fontId="13" fillId="2" borderId="25" xfId="1" applyNumberFormat="1" applyFont="1" applyFill="1" applyBorder="1" applyAlignment="1">
      <alignment horizontal="right" vertical="center" wrapText="1"/>
    </xf>
    <xf numFmtId="0" fontId="17" fillId="2" borderId="45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right" vertical="center" wrapText="1"/>
    </xf>
    <xf numFmtId="3" fontId="13" fillId="0" borderId="18" xfId="0" applyNumberFormat="1" applyFont="1" applyBorder="1" applyAlignment="1">
      <alignment horizontal="center" vertical="center" wrapText="1"/>
    </xf>
    <xf numFmtId="4" fontId="13" fillId="0" borderId="69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right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30" xfId="0" applyNumberFormat="1" applyFont="1" applyBorder="1" applyAlignment="1">
      <alignment horizontal="center" vertical="center" wrapText="1"/>
    </xf>
    <xf numFmtId="3" fontId="13" fillId="4" borderId="22" xfId="1" applyNumberFormat="1" applyFont="1" applyFill="1" applyBorder="1" applyAlignment="1">
      <alignment horizontal="right" vertical="center" wrapText="1"/>
    </xf>
    <xf numFmtId="3" fontId="11" fillId="2" borderId="25" xfId="0" applyNumberFormat="1" applyFont="1" applyFill="1" applyBorder="1" applyAlignment="1">
      <alignment horizontal="right" vertical="center" wrapText="1"/>
    </xf>
    <xf numFmtId="3" fontId="11" fillId="2" borderId="23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vertical="center" wrapText="1"/>
    </xf>
    <xf numFmtId="0" fontId="11" fillId="0" borderId="16" xfId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13" fillId="5" borderId="18" xfId="1" applyNumberFormat="1" applyFont="1" applyFill="1" applyBorder="1" applyAlignment="1">
      <alignment vertical="center" wrapText="1"/>
    </xf>
    <xf numFmtId="3" fontId="13" fillId="5" borderId="6" xfId="1" applyNumberFormat="1" applyFont="1" applyFill="1" applyBorder="1" applyAlignment="1">
      <alignment vertical="center" wrapText="1"/>
    </xf>
    <xf numFmtId="3" fontId="11" fillId="0" borderId="45" xfId="0" applyNumberFormat="1" applyFont="1" applyBorder="1" applyAlignment="1">
      <alignment horizontal="center" vertical="center" wrapText="1"/>
    </xf>
    <xf numFmtId="3" fontId="11" fillId="2" borderId="26" xfId="0" applyNumberFormat="1" applyFont="1" applyFill="1" applyBorder="1" applyAlignment="1">
      <alignment horizontal="center" vertical="center" wrapText="1"/>
    </xf>
    <xf numFmtId="3" fontId="11" fillId="2" borderId="14" xfId="0" applyNumberFormat="1" applyFont="1" applyFill="1" applyBorder="1" applyAlignment="1">
      <alignment horizontal="center" vertical="center" wrapText="1"/>
    </xf>
    <xf numFmtId="3" fontId="11" fillId="2" borderId="18" xfId="0" applyNumberFormat="1" applyFont="1" applyFill="1" applyBorder="1" applyAlignment="1">
      <alignment horizontal="center" vertical="center" wrapText="1"/>
    </xf>
    <xf numFmtId="3" fontId="13" fillId="9" borderId="18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/>
    </xf>
    <xf numFmtId="3" fontId="11" fillId="4" borderId="22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3" fontId="11" fillId="2" borderId="16" xfId="0" applyNumberFormat="1" applyFont="1" applyFill="1" applyBorder="1" applyAlignment="1">
      <alignment horizontal="center" vertical="center" wrapText="1"/>
    </xf>
    <xf numFmtId="3" fontId="18" fillId="3" borderId="14" xfId="0" applyNumberFormat="1" applyFont="1" applyFill="1" applyBorder="1" applyAlignment="1">
      <alignment horizontal="right" vertical="center" wrapText="1"/>
    </xf>
    <xf numFmtId="49" fontId="11" fillId="2" borderId="18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3" fontId="11" fillId="4" borderId="22" xfId="0" applyNumberFormat="1" applyFont="1" applyFill="1" applyBorder="1" applyAlignment="1">
      <alignment horizontal="right" vertical="center" wrapText="1"/>
    </xf>
    <xf numFmtId="3" fontId="11" fillId="2" borderId="20" xfId="0" applyNumberFormat="1" applyFont="1" applyFill="1" applyBorder="1" applyAlignment="1">
      <alignment horizontal="right" vertical="center"/>
    </xf>
    <xf numFmtId="0" fontId="11" fillId="2" borderId="33" xfId="0" applyFont="1" applyFill="1" applyBorder="1" applyAlignment="1">
      <alignment horizontal="center" vertical="center"/>
    </xf>
    <xf numFmtId="166" fontId="13" fillId="0" borderId="0" xfId="0" applyNumberFormat="1" applyFont="1"/>
    <xf numFmtId="166" fontId="13" fillId="0" borderId="0" xfId="0" applyNumberFormat="1" applyFont="1" applyAlignment="1">
      <alignment vertical="center"/>
    </xf>
    <xf numFmtId="49" fontId="11" fillId="2" borderId="18" xfId="0" applyNumberFormat="1" applyFont="1" applyFill="1" applyBorder="1" applyAlignment="1">
      <alignment horizontal="center" vertical="center" wrapText="1"/>
    </xf>
    <xf numFmtId="4" fontId="13" fillId="13" borderId="16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4" fontId="13" fillId="14" borderId="18" xfId="0" applyNumberFormat="1" applyFont="1" applyFill="1" applyBorder="1" applyAlignment="1">
      <alignment horizontal="center" vertical="center" wrapText="1"/>
    </xf>
    <xf numFmtId="4" fontId="13" fillId="14" borderId="12" xfId="0" applyNumberFormat="1" applyFont="1" applyFill="1" applyBorder="1" applyAlignment="1">
      <alignment horizontal="center" vertical="center" wrapText="1"/>
    </xf>
    <xf numFmtId="4" fontId="13" fillId="13" borderId="14" xfId="0" applyNumberFormat="1" applyFont="1" applyFill="1" applyBorder="1" applyAlignment="1">
      <alignment horizontal="center" vertical="center" wrapText="1"/>
    </xf>
    <xf numFmtId="3" fontId="11" fillId="2" borderId="69" xfId="0" applyNumberFormat="1" applyFont="1" applyFill="1" applyBorder="1" applyAlignment="1">
      <alignment vertical="center" wrapText="1"/>
    </xf>
    <xf numFmtId="3" fontId="11" fillId="4" borderId="20" xfId="0" applyNumberFormat="1" applyFont="1" applyFill="1" applyBorder="1" applyAlignment="1">
      <alignment vertical="center"/>
    </xf>
    <xf numFmtId="0" fontId="11" fillId="0" borderId="14" xfId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4" fontId="13" fillId="6" borderId="16" xfId="0" applyNumberFormat="1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/>
    </xf>
    <xf numFmtId="49" fontId="11" fillId="4" borderId="25" xfId="0" applyNumberFormat="1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3" fontId="21" fillId="2" borderId="23" xfId="1" applyNumberFormat="1" applyFont="1" applyFill="1" applyBorder="1" applyAlignment="1">
      <alignment vertical="center" wrapText="1"/>
    </xf>
    <xf numFmtId="3" fontId="21" fillId="2" borderId="23" xfId="1" applyNumberFormat="1" applyFont="1" applyFill="1" applyBorder="1" applyAlignment="1">
      <alignment horizontal="right" vertical="center" wrapText="1"/>
    </xf>
    <xf numFmtId="0" fontId="20" fillId="2" borderId="23" xfId="0" applyFont="1" applyFill="1" applyBorder="1" applyAlignment="1">
      <alignment horizontal="center" vertical="center" wrapText="1"/>
    </xf>
    <xf numFmtId="3" fontId="13" fillId="0" borderId="18" xfId="1" applyNumberFormat="1" applyFont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3" fontId="35" fillId="3" borderId="23" xfId="0" applyNumberFormat="1" applyFont="1" applyFill="1" applyBorder="1" applyAlignment="1">
      <alignment horizontal="right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1" fillId="2" borderId="22" xfId="1" applyFill="1" applyBorder="1" applyAlignment="1">
      <alignment horizontal="center" vertical="center" wrapText="1"/>
    </xf>
    <xf numFmtId="49" fontId="20" fillId="2" borderId="13" xfId="0" applyNumberFormat="1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3" fontId="21" fillId="2" borderId="13" xfId="1" applyNumberFormat="1" applyFont="1" applyFill="1" applyBorder="1" applyAlignment="1">
      <alignment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3" fontId="13" fillId="3" borderId="23" xfId="0" applyNumberFormat="1" applyFont="1" applyFill="1" applyBorder="1" applyAlignment="1">
      <alignment horizontal="right" vertical="center" wrapText="1"/>
    </xf>
    <xf numFmtId="3" fontId="13" fillId="3" borderId="26" xfId="0" applyNumberFormat="1" applyFont="1" applyFill="1" applyBorder="1" applyAlignment="1">
      <alignment horizontal="right" vertical="center" wrapText="1"/>
    </xf>
    <xf numFmtId="3" fontId="13" fillId="3" borderId="32" xfId="0" applyNumberFormat="1" applyFont="1" applyFill="1" applyBorder="1" applyAlignment="1">
      <alignment horizontal="right" vertical="center"/>
    </xf>
    <xf numFmtId="49" fontId="35" fillId="0" borderId="26" xfId="0" applyNumberFormat="1" applyFont="1" applyBorder="1" applyAlignment="1">
      <alignment horizontal="center" vertical="center" wrapText="1"/>
    </xf>
    <xf numFmtId="3" fontId="35" fillId="3" borderId="26" xfId="0" applyNumberFormat="1" applyFont="1" applyFill="1" applyBorder="1" applyAlignment="1">
      <alignment horizontal="right" vertical="center" wrapText="1"/>
    </xf>
    <xf numFmtId="49" fontId="35" fillId="0" borderId="13" xfId="0" applyNumberFormat="1" applyFont="1" applyBorder="1" applyAlignment="1">
      <alignment horizontal="center" vertical="center" wrapText="1"/>
    </xf>
    <xf numFmtId="49" fontId="35" fillId="0" borderId="23" xfId="0" applyNumberFormat="1" applyFont="1" applyBorder="1" applyAlignment="1">
      <alignment horizontal="center" vertical="center" wrapText="1"/>
    </xf>
    <xf numFmtId="49" fontId="35" fillId="0" borderId="23" xfId="0" applyNumberFormat="1" applyFont="1" applyBorder="1" applyAlignment="1">
      <alignment horizontal="center" vertical="center"/>
    </xf>
    <xf numFmtId="3" fontId="35" fillId="3" borderId="24" xfId="0" applyNumberFormat="1" applyFont="1" applyFill="1" applyBorder="1" applyAlignment="1">
      <alignment horizontal="right" vertical="center"/>
    </xf>
    <xf numFmtId="49" fontId="35" fillId="0" borderId="26" xfId="0" applyNumberFormat="1" applyFont="1" applyBorder="1" applyAlignment="1">
      <alignment horizontal="center" vertical="center"/>
    </xf>
    <xf numFmtId="3" fontId="35" fillId="3" borderId="32" xfId="0" applyNumberFormat="1" applyFont="1" applyFill="1" applyBorder="1" applyAlignment="1">
      <alignment horizontal="right" vertical="center"/>
    </xf>
    <xf numFmtId="3" fontId="35" fillId="3" borderId="32" xfId="0" applyNumberFormat="1" applyFont="1" applyFill="1" applyBorder="1" applyAlignment="1">
      <alignment horizontal="right" vertical="center" wrapText="1"/>
    </xf>
    <xf numFmtId="49" fontId="35" fillId="0" borderId="22" xfId="0" applyNumberFormat="1" applyFont="1" applyBorder="1" applyAlignment="1">
      <alignment horizontal="center" vertical="center"/>
    </xf>
    <xf numFmtId="3" fontId="35" fillId="3" borderId="29" xfId="0" applyNumberFormat="1" applyFont="1" applyFill="1" applyBorder="1" applyAlignment="1">
      <alignment horizontal="right" vertical="center"/>
    </xf>
    <xf numFmtId="49" fontId="18" fillId="0" borderId="33" xfId="0" applyNumberFormat="1" applyFont="1" applyBorder="1" applyAlignment="1">
      <alignment horizontal="center" vertical="center"/>
    </xf>
    <xf numFmtId="3" fontId="18" fillId="3" borderId="35" xfId="0" applyNumberFormat="1" applyFont="1" applyFill="1" applyBorder="1" applyAlignment="1">
      <alignment horizontal="right" vertical="center"/>
    </xf>
    <xf numFmtId="49" fontId="35" fillId="0" borderId="33" xfId="0" applyNumberFormat="1" applyFont="1" applyBorder="1" applyAlignment="1">
      <alignment horizontal="center" vertical="center"/>
    </xf>
    <xf numFmtId="3" fontId="35" fillId="3" borderId="35" xfId="0" applyNumberFormat="1" applyFont="1" applyFill="1" applyBorder="1" applyAlignment="1">
      <alignment horizontal="right" vertical="center"/>
    </xf>
    <xf numFmtId="49" fontId="18" fillId="2" borderId="26" xfId="0" applyNumberFormat="1" applyFont="1" applyFill="1" applyBorder="1" applyAlignment="1">
      <alignment horizontal="center" vertical="center" wrapText="1" shrinkToFit="1"/>
    </xf>
    <xf numFmtId="0" fontId="17" fillId="2" borderId="26" xfId="1" applyFont="1" applyFill="1" applyBorder="1" applyAlignment="1">
      <alignment horizontal="center" vertical="center" wrapText="1"/>
    </xf>
    <xf numFmtId="3" fontId="18" fillId="2" borderId="23" xfId="1" applyNumberFormat="1" applyFont="1" applyFill="1" applyBorder="1" applyAlignment="1">
      <alignment vertical="center" wrapText="1"/>
    </xf>
    <xf numFmtId="3" fontId="17" fillId="2" borderId="23" xfId="0" applyNumberFormat="1" applyFont="1" applyFill="1" applyBorder="1" applyAlignment="1">
      <alignment horizontal="right" vertical="center" wrapText="1"/>
    </xf>
    <xf numFmtId="3" fontId="18" fillId="2" borderId="23" xfId="0" applyNumberFormat="1" applyFont="1" applyFill="1" applyBorder="1" applyAlignment="1">
      <alignment horizontal="right" vertical="center" wrapText="1"/>
    </xf>
    <xf numFmtId="3" fontId="17" fillId="2" borderId="47" xfId="0" applyNumberFormat="1" applyFont="1" applyFill="1" applyBorder="1" applyAlignment="1">
      <alignment horizontal="right" vertical="center" wrapText="1"/>
    </xf>
    <xf numFmtId="3" fontId="17" fillId="2" borderId="20" xfId="0" applyNumberFormat="1" applyFont="1" applyFill="1" applyBorder="1" applyAlignment="1">
      <alignment horizontal="right" vertical="center" wrapText="1"/>
    </xf>
    <xf numFmtId="3" fontId="17" fillId="2" borderId="44" xfId="0" applyNumberFormat="1" applyFont="1" applyFill="1" applyBorder="1" applyAlignment="1">
      <alignment horizontal="right" vertical="center" wrapText="1"/>
    </xf>
    <xf numFmtId="49" fontId="17" fillId="2" borderId="26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 shrinkToFit="1"/>
    </xf>
    <xf numFmtId="0" fontId="13" fillId="5" borderId="5" xfId="0" applyFont="1" applyFill="1" applyBorder="1" applyAlignment="1">
      <alignment horizontal="center" vertical="center" wrapText="1"/>
    </xf>
    <xf numFmtId="1" fontId="23" fillId="5" borderId="5" xfId="1" applyNumberFormat="1" applyFont="1" applyFill="1" applyBorder="1" applyAlignment="1">
      <alignment vertical="center" wrapText="1"/>
    </xf>
    <xf numFmtId="1" fontId="23" fillId="5" borderId="12" xfId="1" applyNumberFormat="1" applyFont="1" applyFill="1" applyBorder="1" applyAlignment="1">
      <alignment vertical="center"/>
    </xf>
    <xf numFmtId="1" fontId="23" fillId="5" borderId="5" xfId="1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" fontId="14" fillId="5" borderId="5" xfId="1" applyNumberFormat="1" applyFont="1" applyFill="1" applyBorder="1" applyAlignment="1">
      <alignment vertical="center" wrapText="1"/>
    </xf>
    <xf numFmtId="1" fontId="14" fillId="5" borderId="5" xfId="1" applyNumberFormat="1" applyFont="1" applyFill="1" applyBorder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3" fontId="14" fillId="3" borderId="16" xfId="0" applyNumberFormat="1" applyFont="1" applyFill="1" applyBorder="1" applyAlignment="1">
      <alignment horizontal="center" vertical="center" wrapText="1"/>
    </xf>
    <xf numFmtId="3" fontId="13" fillId="5" borderId="12" xfId="1" applyNumberFormat="1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center" vertical="center" wrapText="1"/>
    </xf>
    <xf numFmtId="0" fontId="11" fillId="2" borderId="18" xfId="1" applyFill="1" applyBorder="1" applyAlignment="1">
      <alignment horizontal="center" vertical="center" wrapText="1"/>
    </xf>
    <xf numFmtId="2" fontId="11" fillId="4" borderId="2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1" fillId="2" borderId="6" xfId="1" applyFill="1" applyBorder="1" applyAlignment="1">
      <alignment horizontal="center" vertical="center" wrapText="1"/>
    </xf>
    <xf numFmtId="2" fontId="11" fillId="2" borderId="23" xfId="0" applyNumberFormat="1" applyFont="1" applyFill="1" applyBorder="1" applyAlignment="1">
      <alignment horizontal="center" vertical="center" wrapText="1"/>
    </xf>
    <xf numFmtId="2" fontId="11" fillId="2" borderId="26" xfId="0" applyNumberFormat="1" applyFont="1" applyFill="1" applyBorder="1" applyAlignment="1">
      <alignment horizontal="center" vertical="center" wrapText="1"/>
    </xf>
    <xf numFmtId="2" fontId="15" fillId="2" borderId="26" xfId="0" applyNumberFormat="1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3" fontId="17" fillId="2" borderId="60" xfId="0" applyNumberFormat="1" applyFont="1" applyFill="1" applyBorder="1" applyAlignment="1">
      <alignment horizontal="right" vertical="center"/>
    </xf>
    <xf numFmtId="3" fontId="17" fillId="2" borderId="60" xfId="0" applyNumberFormat="1" applyFont="1" applyFill="1" applyBorder="1" applyAlignment="1">
      <alignment horizontal="right" vertical="center" wrapText="1"/>
    </xf>
    <xf numFmtId="3" fontId="17" fillId="2" borderId="48" xfId="0" applyNumberFormat="1" applyFont="1" applyFill="1" applyBorder="1" applyAlignment="1">
      <alignment horizontal="right" vertical="center" wrapText="1"/>
    </xf>
    <xf numFmtId="3" fontId="17" fillId="2" borderId="13" xfId="0" applyNumberFormat="1" applyFont="1" applyFill="1" applyBorder="1" applyAlignment="1">
      <alignment horizontal="right" vertical="center" wrapText="1"/>
    </xf>
    <xf numFmtId="3" fontId="18" fillId="2" borderId="45" xfId="0" applyNumberFormat="1" applyFont="1" applyFill="1" applyBorder="1" applyAlignment="1">
      <alignment horizontal="right" vertical="center" wrapText="1"/>
    </xf>
    <xf numFmtId="3" fontId="18" fillId="2" borderId="13" xfId="0" applyNumberFormat="1" applyFont="1" applyFill="1" applyBorder="1" applyAlignment="1">
      <alignment horizontal="right" vertical="center" wrapText="1"/>
    </xf>
    <xf numFmtId="3" fontId="17" fillId="2" borderId="13" xfId="0" applyNumberFormat="1" applyFont="1" applyFill="1" applyBorder="1" applyAlignment="1">
      <alignment vertical="center"/>
    </xf>
    <xf numFmtId="3" fontId="17" fillId="2" borderId="60" xfId="0" applyNumberFormat="1" applyFont="1" applyFill="1" applyBorder="1" applyAlignment="1">
      <alignment vertical="center"/>
    </xf>
    <xf numFmtId="3" fontId="17" fillId="2" borderId="48" xfId="0" applyNumberFormat="1" applyFont="1" applyFill="1" applyBorder="1" applyAlignment="1">
      <alignment vertical="center"/>
    </xf>
    <xf numFmtId="3" fontId="17" fillId="2" borderId="19" xfId="0" applyNumberFormat="1" applyFont="1" applyFill="1" applyBorder="1" applyAlignment="1">
      <alignment vertical="center"/>
    </xf>
    <xf numFmtId="3" fontId="17" fillId="2" borderId="54" xfId="0" applyNumberFormat="1" applyFont="1" applyFill="1" applyBorder="1" applyAlignment="1">
      <alignment horizontal="right" vertical="center"/>
    </xf>
    <xf numFmtId="0" fontId="17" fillId="2" borderId="13" xfId="0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0" fontId="17" fillId="2" borderId="13" xfId="1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49" fontId="17" fillId="2" borderId="23" xfId="0" applyNumberFormat="1" applyFont="1" applyFill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49" fontId="13" fillId="7" borderId="23" xfId="0" applyNumberFormat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/>
    </xf>
    <xf numFmtId="49" fontId="11" fillId="4" borderId="23" xfId="0" applyNumberFormat="1" applyFont="1" applyFill="1" applyBorder="1" applyAlignment="1">
      <alignment horizontal="center" vertical="center"/>
    </xf>
    <xf numFmtId="49" fontId="35" fillId="7" borderId="23" xfId="0" applyNumberFormat="1" applyFont="1" applyFill="1" applyBorder="1" applyAlignment="1">
      <alignment horizontal="center" vertical="center" wrapText="1"/>
    </xf>
    <xf numFmtId="0" fontId="40" fillId="2" borderId="0" xfId="0" applyFont="1" applyFill="1" applyAlignment="1">
      <alignment horizontal="left" vertical="center"/>
    </xf>
    <xf numFmtId="0" fontId="22" fillId="0" borderId="0" xfId="0" applyFont="1"/>
    <xf numFmtId="3" fontId="17" fillId="2" borderId="26" xfId="0" applyNumberFormat="1" applyFont="1" applyFill="1" applyBorder="1" applyAlignment="1">
      <alignment horizontal="right" vertical="center" wrapText="1"/>
    </xf>
    <xf numFmtId="3" fontId="17" fillId="2" borderId="32" xfId="0" applyNumberFormat="1" applyFont="1" applyFill="1" applyBorder="1" applyAlignment="1">
      <alignment horizontal="right" vertical="center" wrapText="1"/>
    </xf>
    <xf numFmtId="3" fontId="17" fillId="2" borderId="36" xfId="0" applyNumberFormat="1" applyFont="1" applyFill="1" applyBorder="1" applyAlignment="1">
      <alignment horizontal="right" vertical="center" wrapText="1"/>
    </xf>
    <xf numFmtId="2" fontId="20" fillId="2" borderId="26" xfId="0" applyNumberFormat="1" applyFont="1" applyFill="1" applyBorder="1" applyAlignment="1">
      <alignment horizontal="center" vertical="center" wrapText="1"/>
    </xf>
    <xf numFmtId="49" fontId="35" fillId="0" borderId="18" xfId="0" applyNumberFormat="1" applyFont="1" applyBorder="1" applyAlignment="1">
      <alignment horizontal="center" vertical="center" wrapText="1"/>
    </xf>
    <xf numFmtId="3" fontId="35" fillId="3" borderId="18" xfId="0" applyNumberFormat="1" applyFont="1" applyFill="1" applyBorder="1" applyAlignment="1">
      <alignment horizontal="right" vertical="center" wrapText="1"/>
    </xf>
    <xf numFmtId="2" fontId="17" fillId="2" borderId="23" xfId="0" applyNumberFormat="1" applyFont="1" applyFill="1" applyBorder="1" applyAlignment="1">
      <alignment horizontal="center" vertical="center" wrapText="1"/>
    </xf>
    <xf numFmtId="3" fontId="17" fillId="2" borderId="13" xfId="0" applyNumberFormat="1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3" fontId="17" fillId="2" borderId="58" xfId="0" applyNumberFormat="1" applyFont="1" applyFill="1" applyBorder="1" applyAlignment="1">
      <alignment horizontal="right" vertical="center" wrapText="1"/>
    </xf>
    <xf numFmtId="3" fontId="17" fillId="2" borderId="21" xfId="0" applyNumberFormat="1" applyFont="1" applyFill="1" applyBorder="1" applyAlignment="1">
      <alignment horizontal="right" vertical="center" wrapText="1"/>
    </xf>
    <xf numFmtId="3" fontId="17" fillId="2" borderId="75" xfId="0" applyNumberFormat="1" applyFont="1" applyFill="1" applyBorder="1" applyAlignment="1">
      <alignment horizontal="right" vertical="center" wrapText="1"/>
    </xf>
    <xf numFmtId="3" fontId="17" fillId="2" borderId="24" xfId="0" applyNumberFormat="1" applyFont="1" applyFill="1" applyBorder="1" applyAlignment="1">
      <alignment horizontal="right" vertical="center" wrapText="1"/>
    </xf>
    <xf numFmtId="49" fontId="17" fillId="2" borderId="25" xfId="0" applyNumberFormat="1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2" fontId="17" fillId="2" borderId="26" xfId="0" applyNumberFormat="1" applyFont="1" applyFill="1" applyBorder="1" applyAlignment="1">
      <alignment horizontal="center" vertical="center" wrapText="1"/>
    </xf>
    <xf numFmtId="49" fontId="13" fillId="7" borderId="14" xfId="0" applyNumberFormat="1" applyFont="1" applyFill="1" applyBorder="1" applyAlignment="1">
      <alignment horizontal="center" vertical="center" wrapText="1"/>
    </xf>
    <xf numFmtId="0" fontId="17" fillId="2" borderId="23" xfId="1" applyFont="1" applyFill="1" applyBorder="1" applyAlignment="1">
      <alignment horizontal="center" vertical="center" wrapText="1"/>
    </xf>
    <xf numFmtId="0" fontId="31" fillId="0" borderId="0" xfId="0" applyFont="1"/>
    <xf numFmtId="0" fontId="13" fillId="5" borderId="14" xfId="1" applyFont="1" applyFill="1" applyBorder="1" applyAlignment="1">
      <alignment horizontal="center" vertical="center" wrapText="1"/>
    </xf>
    <xf numFmtId="0" fontId="13" fillId="5" borderId="18" xfId="1" applyFont="1" applyFill="1" applyBorder="1" applyAlignment="1">
      <alignment horizontal="center" vertical="center" wrapText="1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2" xfId="0" applyNumberFormat="1" applyFont="1" applyFill="1" applyBorder="1" applyAlignment="1">
      <alignment horizontal="center" vertical="center" wrapText="1"/>
    </xf>
    <xf numFmtId="1" fontId="13" fillId="5" borderId="18" xfId="1" applyNumberFormat="1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 vertical="center" wrapText="1"/>
    </xf>
    <xf numFmtId="3" fontId="17" fillId="2" borderId="54" xfId="0" applyNumberFormat="1" applyFont="1" applyFill="1" applyBorder="1" applyAlignment="1">
      <alignment horizontal="right" vertical="center" wrapText="1"/>
    </xf>
    <xf numFmtId="3" fontId="17" fillId="2" borderId="15" xfId="0" applyNumberFormat="1" applyFont="1" applyFill="1" applyBorder="1" applyAlignment="1">
      <alignment horizontal="right" vertical="center" wrapText="1"/>
    </xf>
    <xf numFmtId="3" fontId="17" fillId="2" borderId="45" xfId="0" applyNumberFormat="1" applyFont="1" applyFill="1" applyBorder="1" applyAlignment="1">
      <alignment horizontal="right" vertical="center" wrapText="1"/>
    </xf>
    <xf numFmtId="49" fontId="17" fillId="2" borderId="15" xfId="0" applyNumberFormat="1" applyFont="1" applyFill="1" applyBorder="1" applyAlignment="1">
      <alignment horizontal="center" vertical="center" wrapText="1"/>
    </xf>
    <xf numFmtId="3" fontId="17" fillId="2" borderId="17" xfId="0" applyNumberFormat="1" applyFont="1" applyFill="1" applyBorder="1" applyAlignment="1">
      <alignment horizontal="right" vertical="center" wrapText="1"/>
    </xf>
    <xf numFmtId="0" fontId="17" fillId="2" borderId="45" xfId="1" applyFont="1" applyFill="1" applyBorder="1" applyAlignment="1">
      <alignment horizontal="center" vertical="center" wrapText="1"/>
    </xf>
    <xf numFmtId="3" fontId="13" fillId="6" borderId="3" xfId="1" applyNumberFormat="1" applyFont="1" applyFill="1" applyBorder="1" applyAlignment="1">
      <alignment horizontal="center" vertical="center" wrapText="1"/>
    </xf>
    <xf numFmtId="3" fontId="13" fillId="13" borderId="55" xfId="0" applyNumberFormat="1" applyFont="1" applyFill="1" applyBorder="1" applyAlignment="1">
      <alignment horizontal="center" vertical="center" wrapText="1"/>
    </xf>
    <xf numFmtId="3" fontId="13" fillId="0" borderId="5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9" fontId="13" fillId="0" borderId="26" xfId="0" applyNumberFormat="1" applyFont="1" applyBorder="1" applyAlignment="1">
      <alignment horizontal="center" vertical="center"/>
    </xf>
    <xf numFmtId="166" fontId="14" fillId="0" borderId="30" xfId="0" applyNumberFormat="1" applyFont="1" applyBorder="1" applyAlignment="1">
      <alignment horizontal="center" vertical="center" wrapText="1"/>
    </xf>
    <xf numFmtId="4" fontId="11" fillId="0" borderId="38" xfId="0" applyNumberFormat="1" applyFont="1" applyBorder="1" applyAlignment="1">
      <alignment horizontal="right" vertical="center" wrapText="1"/>
    </xf>
    <xf numFmtId="1" fontId="14" fillId="5" borderId="12" xfId="1" applyNumberFormat="1" applyFont="1" applyFill="1" applyBorder="1" applyAlignment="1">
      <alignment vertical="center"/>
    </xf>
    <xf numFmtId="1" fontId="13" fillId="5" borderId="6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3" fontId="13" fillId="9" borderId="56" xfId="0" applyNumberFormat="1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vertical="center" wrapText="1"/>
    </xf>
    <xf numFmtId="3" fontId="35" fillId="3" borderId="27" xfId="0" applyNumberFormat="1" applyFont="1" applyFill="1" applyBorder="1" applyAlignment="1">
      <alignment horizontal="right" vertical="center" wrapText="1"/>
    </xf>
    <xf numFmtId="3" fontId="11" fillId="2" borderId="27" xfId="0" applyNumberFormat="1" applyFont="1" applyFill="1" applyBorder="1" applyAlignment="1">
      <alignment horizontal="right" vertical="center" wrapText="1"/>
    </xf>
    <xf numFmtId="49" fontId="18" fillId="2" borderId="23" xfId="0" applyNumberFormat="1" applyFont="1" applyFill="1" applyBorder="1" applyAlignment="1">
      <alignment horizontal="center" vertical="center" wrapText="1"/>
    </xf>
    <xf numFmtId="49" fontId="18" fillId="2" borderId="25" xfId="0" applyNumberFormat="1" applyFont="1" applyFill="1" applyBorder="1" applyAlignment="1">
      <alignment horizontal="center" vertical="center" wrapText="1" shrinkToFit="1"/>
    </xf>
    <xf numFmtId="49" fontId="39" fillId="2" borderId="25" xfId="0" applyNumberFormat="1" applyFont="1" applyFill="1" applyBorder="1" applyAlignment="1">
      <alignment horizontal="center" vertical="center"/>
    </xf>
    <xf numFmtId="3" fontId="18" fillId="2" borderId="23" xfId="1" applyNumberFormat="1" applyFont="1" applyFill="1" applyBorder="1" applyAlignment="1">
      <alignment horizontal="right" vertical="center" wrapText="1"/>
    </xf>
    <xf numFmtId="3" fontId="17" fillId="2" borderId="58" xfId="1" applyNumberFormat="1" applyFont="1" applyFill="1" applyBorder="1" applyAlignment="1">
      <alignment horizontal="right" vertical="center" wrapText="1"/>
    </xf>
    <xf numFmtId="3" fontId="17" fillId="2" borderId="75" xfId="1" applyNumberFormat="1" applyFont="1" applyFill="1" applyBorder="1" applyAlignment="1">
      <alignment horizontal="right" vertical="center" wrapText="1"/>
    </xf>
    <xf numFmtId="3" fontId="17" fillId="2" borderId="27" xfId="0" applyNumberFormat="1" applyFont="1" applyFill="1" applyBorder="1" applyAlignment="1">
      <alignment horizontal="right" vertical="center" wrapText="1"/>
    </xf>
    <xf numFmtId="3" fontId="33" fillId="3" borderId="23" xfId="0" applyNumberFormat="1" applyFont="1" applyFill="1" applyBorder="1" applyAlignment="1">
      <alignment horizontal="right" vertical="center" wrapText="1"/>
    </xf>
    <xf numFmtId="49" fontId="33" fillId="0" borderId="23" xfId="0" applyNumberFormat="1" applyFont="1" applyBorder="1" applyAlignment="1">
      <alignment horizontal="center" vertical="center" wrapText="1"/>
    </xf>
    <xf numFmtId="49" fontId="35" fillId="0" borderId="13" xfId="0" applyNumberFormat="1" applyFont="1" applyBorder="1" applyAlignment="1">
      <alignment horizontal="center" vertical="center"/>
    </xf>
    <xf numFmtId="3" fontId="35" fillId="3" borderId="45" xfId="0" applyNumberFormat="1" applyFont="1" applyFill="1" applyBorder="1" applyAlignment="1">
      <alignment horizontal="right" vertical="center"/>
    </xf>
    <xf numFmtId="3" fontId="13" fillId="0" borderId="39" xfId="0" applyNumberFormat="1" applyFont="1" applyBorder="1" applyAlignment="1">
      <alignment horizontal="center" vertical="center" wrapText="1"/>
    </xf>
    <xf numFmtId="3" fontId="11" fillId="0" borderId="74" xfId="0" applyNumberFormat="1" applyFont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3" fontId="11" fillId="2" borderId="33" xfId="0" applyNumberFormat="1" applyFont="1" applyFill="1" applyBorder="1" applyAlignment="1">
      <alignment horizontal="center" vertical="center" wrapText="1"/>
    </xf>
    <xf numFmtId="2" fontId="11" fillId="2" borderId="14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0" fontId="36" fillId="2" borderId="0" xfId="0" applyFont="1" applyFill="1" applyAlignment="1">
      <alignment horizontal="right"/>
    </xf>
    <xf numFmtId="0" fontId="29" fillId="0" borderId="0" xfId="0" applyFont="1" applyAlignment="1">
      <alignment horizontal="right"/>
    </xf>
    <xf numFmtId="3" fontId="29" fillId="0" borderId="0" xfId="0" applyNumberFormat="1" applyFont="1"/>
    <xf numFmtId="0" fontId="29" fillId="0" borderId="0" xfId="0" applyFont="1"/>
    <xf numFmtId="3" fontId="37" fillId="0" borderId="0" xfId="0" applyNumberFormat="1" applyFont="1"/>
    <xf numFmtId="0" fontId="37" fillId="0" borderId="0" xfId="0" applyFont="1"/>
    <xf numFmtId="166" fontId="11" fillId="0" borderId="13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11" borderId="37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49" fontId="39" fillId="2" borderId="25" xfId="0" applyNumberFormat="1" applyFont="1" applyFill="1" applyBorder="1" applyAlignment="1">
      <alignment horizontal="center" vertical="center" wrapText="1"/>
    </xf>
    <xf numFmtId="3" fontId="17" fillId="2" borderId="51" xfId="0" applyNumberFormat="1" applyFont="1" applyFill="1" applyBorder="1" applyAlignment="1">
      <alignment horizontal="right" vertical="center" wrapText="1"/>
    </xf>
    <xf numFmtId="0" fontId="17" fillId="2" borderId="25" xfId="0" applyFont="1" applyFill="1" applyBorder="1" applyAlignment="1">
      <alignment horizontal="center" vertical="center" wrapText="1"/>
    </xf>
    <xf numFmtId="3" fontId="17" fillId="2" borderId="61" xfId="0" applyNumberFormat="1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 wrapText="1" shrinkToFit="1"/>
    </xf>
    <xf numFmtId="0" fontId="14" fillId="2" borderId="27" xfId="1" applyFont="1" applyFill="1" applyBorder="1" applyAlignment="1">
      <alignment horizontal="center" vertical="center" wrapText="1"/>
    </xf>
    <xf numFmtId="3" fontId="11" fillId="2" borderId="44" xfId="0" applyNumberFormat="1" applyFont="1" applyFill="1" applyBorder="1" applyAlignment="1">
      <alignment vertical="center" wrapText="1"/>
    </xf>
    <xf numFmtId="3" fontId="11" fillId="2" borderId="51" xfId="0" applyNumberFormat="1" applyFont="1" applyFill="1" applyBorder="1" applyAlignment="1">
      <alignment vertical="center" wrapText="1"/>
    </xf>
    <xf numFmtId="3" fontId="11" fillId="2" borderId="24" xfId="0" applyNumberFormat="1" applyFont="1" applyFill="1" applyBorder="1" applyAlignment="1">
      <alignment vertical="center" wrapText="1"/>
    </xf>
    <xf numFmtId="3" fontId="13" fillId="2" borderId="24" xfId="0" applyNumberFormat="1" applyFont="1" applyFill="1" applyBorder="1" applyAlignment="1">
      <alignment horizontal="right" vertical="center" wrapText="1"/>
    </xf>
    <xf numFmtId="3" fontId="11" fillId="2" borderId="58" xfId="0" applyNumberFormat="1" applyFont="1" applyFill="1" applyBorder="1" applyAlignment="1">
      <alignment horizontal="right" vertical="center" wrapText="1"/>
    </xf>
    <xf numFmtId="3" fontId="11" fillId="2" borderId="44" xfId="0" applyNumberFormat="1" applyFont="1" applyFill="1" applyBorder="1" applyAlignment="1">
      <alignment horizontal="right" vertical="center" wrapText="1"/>
    </xf>
    <xf numFmtId="3" fontId="11" fillId="2" borderId="24" xfId="0" applyNumberFormat="1" applyFont="1" applyFill="1" applyBorder="1" applyAlignment="1">
      <alignment horizontal="right" vertical="center" wrapText="1"/>
    </xf>
    <xf numFmtId="49" fontId="11" fillId="2" borderId="25" xfId="0" applyNumberFormat="1" applyFont="1" applyFill="1" applyBorder="1" applyAlignment="1">
      <alignment horizontal="center" vertical="center" wrapText="1"/>
    </xf>
    <xf numFmtId="49" fontId="13" fillId="2" borderId="26" xfId="0" applyNumberFormat="1" applyFont="1" applyFill="1" applyBorder="1" applyAlignment="1">
      <alignment horizontal="center" vertical="center" wrapText="1"/>
    </xf>
    <xf numFmtId="49" fontId="13" fillId="2" borderId="26" xfId="0" applyNumberFormat="1" applyFont="1" applyFill="1" applyBorder="1" applyAlignment="1">
      <alignment horizontal="center" vertical="center" wrapText="1" shrinkToFit="1"/>
    </xf>
    <xf numFmtId="0" fontId="14" fillId="2" borderId="37" xfId="1" applyFont="1" applyFill="1" applyBorder="1" applyAlignment="1">
      <alignment horizontal="center" vertical="center" wrapText="1"/>
    </xf>
    <xf numFmtId="3" fontId="11" fillId="2" borderId="26" xfId="0" applyNumberFormat="1" applyFont="1" applyFill="1" applyBorder="1" applyAlignment="1">
      <alignment horizontal="right" vertical="center" wrapText="1"/>
    </xf>
    <xf numFmtId="3" fontId="13" fillId="2" borderId="32" xfId="0" applyNumberFormat="1" applyFont="1" applyFill="1" applyBorder="1" applyAlignment="1">
      <alignment horizontal="right" vertical="center" wrapText="1"/>
    </xf>
    <xf numFmtId="3" fontId="13" fillId="2" borderId="26" xfId="0" applyNumberFormat="1" applyFont="1" applyFill="1" applyBorder="1" applyAlignment="1">
      <alignment horizontal="right" vertical="center" wrapText="1"/>
    </xf>
    <xf numFmtId="3" fontId="11" fillId="2" borderId="47" xfId="0" applyNumberFormat="1" applyFont="1" applyFill="1" applyBorder="1" applyAlignment="1">
      <alignment horizontal="right" vertical="center" wrapText="1"/>
    </xf>
    <xf numFmtId="3" fontId="11" fillId="2" borderId="36" xfId="0" applyNumberFormat="1" applyFont="1" applyFill="1" applyBorder="1" applyAlignment="1">
      <alignment horizontal="right" vertical="center" wrapText="1"/>
    </xf>
    <xf numFmtId="3" fontId="11" fillId="2" borderId="32" xfId="0" applyNumberFormat="1" applyFont="1" applyFill="1" applyBorder="1" applyAlignment="1">
      <alignment horizontal="right" vertical="center" wrapText="1"/>
    </xf>
    <xf numFmtId="49" fontId="11" fillId="2" borderId="31" xfId="0" applyNumberFormat="1" applyFont="1" applyFill="1" applyBorder="1" applyAlignment="1">
      <alignment horizontal="center" vertical="center" wrapText="1"/>
    </xf>
    <xf numFmtId="49" fontId="13" fillId="2" borderId="30" xfId="0" applyNumberFormat="1" applyFont="1" applyFill="1" applyBorder="1" applyAlignment="1">
      <alignment horizontal="center" vertical="center"/>
    </xf>
    <xf numFmtId="49" fontId="13" fillId="2" borderId="18" xfId="0" applyNumberFormat="1" applyFont="1" applyFill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wrapText="1"/>
    </xf>
    <xf numFmtId="3" fontId="13" fillId="2" borderId="16" xfId="1" applyNumberFormat="1" applyFont="1" applyFill="1" applyBorder="1" applyAlignment="1">
      <alignment vertical="center" wrapText="1"/>
    </xf>
    <xf numFmtId="3" fontId="13" fillId="2" borderId="55" xfId="1" applyNumberFormat="1" applyFont="1" applyFill="1" applyBorder="1" applyAlignment="1">
      <alignment vertical="center" wrapText="1"/>
    </xf>
    <xf numFmtId="3" fontId="13" fillId="2" borderId="18" xfId="1" applyNumberFormat="1" applyFont="1" applyFill="1" applyBorder="1" applyAlignment="1">
      <alignment horizontal="right" vertical="center" wrapText="1"/>
    </xf>
    <xf numFmtId="3" fontId="11" fillId="2" borderId="55" xfId="0" applyNumberFormat="1" applyFont="1" applyFill="1" applyBorder="1" applyAlignment="1">
      <alignment horizontal="right" vertical="center" wrapText="1"/>
    </xf>
    <xf numFmtId="3" fontId="11" fillId="2" borderId="16" xfId="0" applyNumberFormat="1" applyFont="1" applyFill="1" applyBorder="1" applyAlignment="1">
      <alignment horizontal="right" vertical="center" wrapText="1"/>
    </xf>
    <xf numFmtId="3" fontId="11" fillId="2" borderId="72" xfId="0" applyNumberFormat="1" applyFont="1" applyFill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2" borderId="30" xfId="0" applyNumberFormat="1" applyFont="1" applyFill="1" applyBorder="1" applyAlignment="1">
      <alignment horizontal="right" vertical="center" wrapText="1"/>
    </xf>
    <xf numFmtId="3" fontId="13" fillId="2" borderId="18" xfId="0" applyNumberFormat="1" applyFont="1" applyFill="1" applyBorder="1" applyAlignment="1">
      <alignment horizontal="right" vertical="center" wrapText="1"/>
    </xf>
    <xf numFmtId="3" fontId="11" fillId="2" borderId="18" xfId="0" applyNumberFormat="1" applyFont="1" applyFill="1" applyBorder="1" applyAlignment="1">
      <alignment horizontal="right" vertical="center" wrapText="1"/>
    </xf>
    <xf numFmtId="3" fontId="13" fillId="2" borderId="72" xfId="0" applyNumberFormat="1" applyFont="1" applyFill="1" applyBorder="1" applyAlignment="1">
      <alignment horizontal="right" vertical="center" wrapText="1"/>
    </xf>
    <xf numFmtId="0" fontId="35" fillId="2" borderId="15" xfId="0" applyFont="1" applyFill="1" applyBorder="1" applyAlignment="1">
      <alignment horizontal="center" vertical="center" wrapText="1"/>
    </xf>
    <xf numFmtId="49" fontId="35" fillId="2" borderId="13" xfId="0" applyNumberFormat="1" applyFont="1" applyFill="1" applyBorder="1" applyAlignment="1">
      <alignment horizontal="center" vertical="center" wrapText="1"/>
    </xf>
    <xf numFmtId="0" fontId="38" fillId="2" borderId="19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3" fontId="35" fillId="2" borderId="13" xfId="0" applyNumberFormat="1" applyFont="1" applyFill="1" applyBorder="1" applyAlignment="1">
      <alignment horizontal="right" vertical="center" wrapText="1"/>
    </xf>
    <xf numFmtId="3" fontId="19" fillId="2" borderId="54" xfId="0" applyNumberFormat="1" applyFont="1" applyFill="1" applyBorder="1" applyAlignment="1">
      <alignment horizontal="right" vertical="center" wrapText="1"/>
    </xf>
    <xf numFmtId="3" fontId="19" fillId="2" borderId="19" xfId="0" applyNumberFormat="1" applyFont="1" applyFill="1" applyBorder="1" applyAlignment="1">
      <alignment horizontal="right" vertical="center" wrapText="1"/>
    </xf>
    <xf numFmtId="3" fontId="19" fillId="2" borderId="60" xfId="0" applyNumberFormat="1" applyFont="1" applyFill="1" applyBorder="1" applyAlignment="1">
      <alignment horizontal="right" vertical="center" wrapText="1"/>
    </xf>
    <xf numFmtId="3" fontId="19" fillId="2" borderId="45" xfId="0" applyNumberFormat="1" applyFont="1" applyFill="1" applyBorder="1" applyAlignment="1">
      <alignment horizontal="right" vertical="center" wrapText="1"/>
    </xf>
    <xf numFmtId="3" fontId="19" fillId="2" borderId="15" xfId="0" applyNumberFormat="1" applyFont="1" applyFill="1" applyBorder="1" applyAlignment="1">
      <alignment horizontal="right" vertical="center" wrapText="1"/>
    </xf>
    <xf numFmtId="0" fontId="19" fillId="2" borderId="13" xfId="0" applyFont="1" applyFill="1" applyBorder="1" applyAlignment="1">
      <alignment horizontal="right" vertical="center" wrapText="1"/>
    </xf>
    <xf numFmtId="0" fontId="19" fillId="2" borderId="78" xfId="0" applyFont="1" applyFill="1" applyBorder="1" applyAlignment="1">
      <alignment horizontal="right" vertical="center" wrapText="1"/>
    </xf>
    <xf numFmtId="0" fontId="19" fillId="2" borderId="19" xfId="0" applyFont="1" applyFill="1" applyBorder="1" applyAlignment="1">
      <alignment horizontal="right" vertical="center" wrapText="1"/>
    </xf>
    <xf numFmtId="0" fontId="19" fillId="2" borderId="79" xfId="0" applyFont="1" applyFill="1" applyBorder="1" applyAlignment="1">
      <alignment horizontal="right" vertical="center" wrapText="1"/>
    </xf>
    <xf numFmtId="0" fontId="19" fillId="2" borderId="45" xfId="0" applyFont="1" applyFill="1" applyBorder="1" applyAlignment="1">
      <alignment horizontal="right" vertical="center" wrapText="1"/>
    </xf>
    <xf numFmtId="49" fontId="19" fillId="2" borderId="19" xfId="0" applyNumberFormat="1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center" vertical="center" wrapText="1"/>
    </xf>
    <xf numFmtId="49" fontId="13" fillId="11" borderId="25" xfId="0" applyNumberFormat="1" applyFont="1" applyFill="1" applyBorder="1" applyAlignment="1">
      <alignment horizontal="center" vertical="center" wrapText="1"/>
    </xf>
    <xf numFmtId="0" fontId="14" fillId="11" borderId="23" xfId="0" applyFont="1" applyFill="1" applyBorder="1" applyAlignment="1">
      <alignment horizontal="center" vertical="center" wrapText="1"/>
    </xf>
    <xf numFmtId="3" fontId="13" fillId="11" borderId="23" xfId="0" applyNumberFormat="1" applyFont="1" applyFill="1" applyBorder="1" applyAlignment="1">
      <alignment vertical="center" wrapText="1"/>
    </xf>
    <xf numFmtId="3" fontId="13" fillId="11" borderId="23" xfId="0" applyNumberFormat="1" applyFont="1" applyFill="1" applyBorder="1" applyAlignment="1">
      <alignment horizontal="right" vertical="center" wrapText="1"/>
    </xf>
    <xf numFmtId="3" fontId="11" fillId="11" borderId="24" xfId="0" applyNumberFormat="1" applyFont="1" applyFill="1" applyBorder="1" applyAlignment="1">
      <alignment horizontal="right" vertical="center" wrapText="1"/>
    </xf>
    <xf numFmtId="3" fontId="11" fillId="11" borderId="23" xfId="0" applyNumberFormat="1" applyFont="1" applyFill="1" applyBorder="1" applyAlignment="1">
      <alignment horizontal="right" vertical="center" wrapText="1"/>
    </xf>
    <xf numFmtId="3" fontId="11" fillId="11" borderId="44" xfId="0" applyNumberFormat="1" applyFont="1" applyFill="1" applyBorder="1" applyAlignment="1">
      <alignment horizontal="right" vertical="center" wrapText="1"/>
    </xf>
    <xf numFmtId="3" fontId="11" fillId="11" borderId="51" xfId="0" applyNumberFormat="1" applyFont="1" applyFill="1" applyBorder="1" applyAlignment="1">
      <alignment horizontal="right" vertical="center" wrapText="1"/>
    </xf>
    <xf numFmtId="3" fontId="11" fillId="11" borderId="58" xfId="0" applyNumberFormat="1" applyFont="1" applyFill="1" applyBorder="1" applyAlignment="1">
      <alignment horizontal="right" vertical="center" wrapText="1"/>
    </xf>
    <xf numFmtId="3" fontId="11" fillId="11" borderId="21" xfId="0" applyNumberFormat="1" applyFont="1" applyFill="1" applyBorder="1" applyAlignment="1">
      <alignment horizontal="right" vertical="center" wrapText="1"/>
    </xf>
    <xf numFmtId="0" fontId="13" fillId="11" borderId="31" xfId="0" applyFont="1" applyFill="1" applyBorder="1" applyAlignment="1">
      <alignment horizontal="center" vertical="center" wrapText="1"/>
    </xf>
    <xf numFmtId="49" fontId="13" fillId="11" borderId="31" xfId="0" applyNumberFormat="1" applyFont="1" applyFill="1" applyBorder="1" applyAlignment="1">
      <alignment horizontal="center" vertical="center" wrapText="1"/>
    </xf>
    <xf numFmtId="0" fontId="14" fillId="11" borderId="26" xfId="0" applyFont="1" applyFill="1" applyBorder="1" applyAlignment="1">
      <alignment horizontal="center" vertical="center" wrapText="1"/>
    </xf>
    <xf numFmtId="3" fontId="13" fillId="11" borderId="26" xfId="0" applyNumberFormat="1" applyFont="1" applyFill="1" applyBorder="1" applyAlignment="1">
      <alignment vertical="center" wrapText="1"/>
    </xf>
    <xf numFmtId="3" fontId="13" fillId="11" borderId="26" xfId="0" applyNumberFormat="1" applyFont="1" applyFill="1" applyBorder="1" applyAlignment="1">
      <alignment horizontal="right" vertical="center" wrapText="1"/>
    </xf>
    <xf numFmtId="3" fontId="11" fillId="11" borderId="47" xfId="0" applyNumberFormat="1" applyFont="1" applyFill="1" applyBorder="1" applyAlignment="1">
      <alignment horizontal="right" vertical="center" wrapText="1"/>
    </xf>
    <xf numFmtId="3" fontId="11" fillId="11" borderId="32" xfId="0" applyNumberFormat="1" applyFont="1" applyFill="1" applyBorder="1" applyAlignment="1">
      <alignment horizontal="right" vertical="center" wrapText="1"/>
    </xf>
    <xf numFmtId="3" fontId="11" fillId="11" borderId="26" xfId="0" applyNumberFormat="1" applyFont="1" applyFill="1" applyBorder="1" applyAlignment="1">
      <alignment horizontal="right" vertical="center" wrapText="1"/>
    </xf>
    <xf numFmtId="3" fontId="11" fillId="11" borderId="36" xfId="0" applyNumberFormat="1" applyFont="1" applyFill="1" applyBorder="1" applyAlignment="1">
      <alignment horizontal="right" vertical="center" wrapText="1"/>
    </xf>
    <xf numFmtId="3" fontId="11" fillId="11" borderId="42" xfId="0" applyNumberFormat="1" applyFont="1" applyFill="1" applyBorder="1" applyAlignment="1">
      <alignment horizontal="right" vertical="center" wrapText="1"/>
    </xf>
    <xf numFmtId="3" fontId="11" fillId="11" borderId="20" xfId="0" applyNumberFormat="1" applyFont="1" applyFill="1" applyBorder="1" applyAlignment="1">
      <alignment horizontal="right" vertical="center" wrapText="1"/>
    </xf>
    <xf numFmtId="3" fontId="11" fillId="2" borderId="6" xfId="0" applyNumberFormat="1" applyFont="1" applyFill="1" applyBorder="1" applyAlignment="1">
      <alignment horizontal="right" vertical="center" wrapText="1"/>
    </xf>
    <xf numFmtId="3" fontId="11" fillId="2" borderId="69" xfId="0" applyNumberFormat="1" applyFont="1" applyFill="1" applyBorder="1" applyAlignment="1">
      <alignment horizontal="righ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 shrinkToFit="1"/>
    </xf>
    <xf numFmtId="0" fontId="45" fillId="2" borderId="4" xfId="1" applyFont="1" applyFill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3" fontId="16" fillId="2" borderId="2" xfId="1" applyNumberFormat="1" applyFont="1" applyFill="1" applyBorder="1" applyAlignment="1">
      <alignment vertical="center" wrapText="1"/>
    </xf>
    <xf numFmtId="3" fontId="16" fillId="2" borderId="4" xfId="1" applyNumberFormat="1" applyFont="1" applyFill="1" applyBorder="1" applyAlignment="1">
      <alignment vertical="center" wrapText="1"/>
    </xf>
    <xf numFmtId="3" fontId="15" fillId="2" borderId="62" xfId="1" applyNumberFormat="1" applyFont="1" applyFill="1" applyBorder="1" applyAlignment="1">
      <alignment vertical="center" wrapText="1"/>
    </xf>
    <xf numFmtId="3" fontId="15" fillId="2" borderId="46" xfId="1" applyNumberFormat="1" applyFont="1" applyFill="1" applyBorder="1" applyAlignment="1">
      <alignment vertical="center" wrapText="1"/>
    </xf>
    <xf numFmtId="3" fontId="15" fillId="2" borderId="53" xfId="0" applyNumberFormat="1" applyFont="1" applyFill="1" applyBorder="1" applyAlignment="1">
      <alignment vertical="center" wrapText="1"/>
    </xf>
    <xf numFmtId="3" fontId="15" fillId="2" borderId="8" xfId="0" applyNumberFormat="1" applyFont="1" applyFill="1" applyBorder="1" applyAlignment="1">
      <alignment vertical="center" wrapText="1"/>
    </xf>
    <xf numFmtId="3" fontId="15" fillId="2" borderId="62" xfId="0" applyNumberFormat="1" applyFont="1" applyFill="1" applyBorder="1" applyAlignment="1">
      <alignment vertical="center" wrapText="1"/>
    </xf>
    <xf numFmtId="3" fontId="15" fillId="2" borderId="2" xfId="0" applyNumberFormat="1" applyFont="1" applyFill="1" applyBorder="1" applyAlignment="1">
      <alignment horizontal="right" vertical="center" wrapText="1"/>
    </xf>
    <xf numFmtId="3" fontId="16" fillId="2" borderId="9" xfId="0" applyNumberFormat="1" applyFont="1" applyFill="1" applyBorder="1" applyAlignment="1">
      <alignment horizontal="right" vertical="center" wrapText="1"/>
    </xf>
    <xf numFmtId="3" fontId="16" fillId="2" borderId="26" xfId="0" applyNumberFormat="1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3" fontId="15" fillId="2" borderId="4" xfId="0" applyNumberFormat="1" applyFont="1" applyFill="1" applyBorder="1" applyAlignment="1">
      <alignment vertical="center" wrapText="1"/>
    </xf>
    <xf numFmtId="3" fontId="15" fillId="2" borderId="63" xfId="0" applyNumberFormat="1" applyFont="1" applyFill="1" applyBorder="1" applyAlignment="1">
      <alignment vertical="center" wrapText="1"/>
    </xf>
    <xf numFmtId="3" fontId="15" fillId="2" borderId="9" xfId="1" applyNumberFormat="1" applyFont="1" applyFill="1" applyBorder="1" applyAlignment="1">
      <alignment vertical="center" wrapText="1"/>
    </xf>
    <xf numFmtId="3" fontId="15" fillId="2" borderId="62" xfId="0" applyNumberFormat="1" applyFont="1" applyFill="1" applyBorder="1" applyAlignment="1">
      <alignment horizontal="right" vertical="center" wrapText="1"/>
    </xf>
    <xf numFmtId="3" fontId="15" fillId="2" borderId="53" xfId="0" applyNumberFormat="1" applyFont="1" applyFill="1" applyBorder="1" applyAlignment="1">
      <alignment horizontal="right" vertical="center" wrapText="1"/>
    </xf>
    <xf numFmtId="3" fontId="15" fillId="2" borderId="9" xfId="0" applyNumberFormat="1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21" fillId="0" borderId="26" xfId="0" applyNumberFormat="1" applyFont="1" applyBorder="1" applyAlignment="1">
      <alignment horizontal="center" vertical="center" wrapText="1"/>
    </xf>
    <xf numFmtId="3" fontId="21" fillId="3" borderId="32" xfId="0" applyNumberFormat="1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horizontal="right" vertical="center" wrapText="1"/>
    </xf>
    <xf numFmtId="3" fontId="15" fillId="2" borderId="8" xfId="1" applyNumberFormat="1" applyFont="1" applyFill="1" applyBorder="1" applyAlignment="1">
      <alignment vertical="center" wrapText="1"/>
    </xf>
    <xf numFmtId="0" fontId="15" fillId="2" borderId="23" xfId="1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9" fontId="13" fillId="2" borderId="15" xfId="0" applyNumberFormat="1" applyFont="1" applyFill="1" applyBorder="1" applyAlignment="1">
      <alignment horizontal="center" vertical="center" wrapText="1" shrinkToFit="1"/>
    </xf>
    <xf numFmtId="0" fontId="14" fillId="2" borderId="15" xfId="1" applyFont="1" applyFill="1" applyBorder="1" applyAlignment="1">
      <alignment horizontal="center" vertical="center" wrapText="1"/>
    </xf>
    <xf numFmtId="3" fontId="13" fillId="2" borderId="57" xfId="1" applyNumberFormat="1" applyFont="1" applyFill="1" applyBorder="1" applyAlignment="1">
      <alignment vertical="center" wrapText="1"/>
    </xf>
    <xf numFmtId="3" fontId="11" fillId="2" borderId="72" xfId="0" applyNumberFormat="1" applyFont="1" applyFill="1" applyBorder="1" applyAlignment="1">
      <alignment vertical="center" wrapText="1"/>
    </xf>
    <xf numFmtId="3" fontId="11" fillId="2" borderId="68" xfId="0" applyNumberFormat="1" applyFont="1" applyFill="1" applyBorder="1" applyAlignment="1">
      <alignment vertical="center" wrapText="1"/>
    </xf>
    <xf numFmtId="3" fontId="11" fillId="2" borderId="16" xfId="0" applyNumberFormat="1" applyFont="1" applyFill="1" applyBorder="1" applyAlignment="1">
      <alignment vertical="center" wrapText="1"/>
    </xf>
    <xf numFmtId="3" fontId="13" fillId="2" borderId="14" xfId="0" applyNumberFormat="1" applyFont="1" applyFill="1" applyBorder="1" applyAlignment="1">
      <alignment horizontal="right" vertical="center" wrapText="1"/>
    </xf>
    <xf numFmtId="3" fontId="11" fillId="2" borderId="38" xfId="0" applyNumberFormat="1" applyFont="1" applyFill="1" applyBorder="1" applyAlignment="1">
      <alignment horizontal="right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3" fillId="2" borderId="18" xfId="0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3" fontId="13" fillId="2" borderId="18" xfId="1" applyNumberFormat="1" applyFont="1" applyFill="1" applyBorder="1" applyAlignment="1">
      <alignment vertical="center" wrapText="1"/>
    </xf>
    <xf numFmtId="3" fontId="13" fillId="2" borderId="12" xfId="1" applyNumberFormat="1" applyFont="1" applyFill="1" applyBorder="1" applyAlignment="1">
      <alignment vertical="center" wrapText="1"/>
    </xf>
    <xf numFmtId="3" fontId="11" fillId="2" borderId="38" xfId="0" applyNumberFormat="1" applyFont="1" applyFill="1" applyBorder="1" applyAlignment="1">
      <alignment vertical="center" wrapText="1"/>
    </xf>
    <xf numFmtId="3" fontId="11" fillId="2" borderId="5" xfId="0" applyNumberFormat="1" applyFont="1" applyFill="1" applyBorder="1" applyAlignment="1">
      <alignment vertical="center" wrapText="1"/>
    </xf>
    <xf numFmtId="3" fontId="11" fillId="2" borderId="55" xfId="0" applyNumberFormat="1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3" fontId="11" fillId="2" borderId="18" xfId="0" applyNumberFormat="1" applyFont="1" applyFill="1" applyBorder="1" applyAlignment="1">
      <alignment vertical="center" wrapText="1"/>
    </xf>
    <xf numFmtId="3" fontId="11" fillId="2" borderId="56" xfId="0" applyNumberFormat="1" applyFont="1" applyFill="1" applyBorder="1" applyAlignment="1">
      <alignment vertical="center" wrapText="1"/>
    </xf>
    <xf numFmtId="3" fontId="11" fillId="2" borderId="56" xfId="0" applyNumberFormat="1" applyFont="1" applyFill="1" applyBorder="1" applyAlignment="1">
      <alignment horizontal="right" vertical="center" wrapText="1"/>
    </xf>
    <xf numFmtId="3" fontId="11" fillId="2" borderId="5" xfId="0" applyNumberFormat="1" applyFont="1" applyFill="1" applyBorder="1" applyAlignment="1">
      <alignment horizontal="right" vertical="center" wrapText="1"/>
    </xf>
    <xf numFmtId="49" fontId="11" fillId="2" borderId="12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 shrinkToFit="1"/>
    </xf>
    <xf numFmtId="0" fontId="45" fillId="2" borderId="12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3" fontId="16" fillId="2" borderId="18" xfId="1" applyNumberFormat="1" applyFont="1" applyFill="1" applyBorder="1" applyAlignment="1">
      <alignment vertical="center" wrapText="1"/>
    </xf>
    <xf numFmtId="3" fontId="16" fillId="2" borderId="12" xfId="1" applyNumberFormat="1" applyFont="1" applyFill="1" applyBorder="1" applyAlignment="1">
      <alignment vertical="center" wrapText="1"/>
    </xf>
    <xf numFmtId="3" fontId="15" fillId="2" borderId="55" xfId="1" applyNumberFormat="1" applyFont="1" applyFill="1" applyBorder="1" applyAlignment="1">
      <alignment vertical="center" wrapText="1"/>
    </xf>
    <xf numFmtId="3" fontId="15" fillId="2" borderId="57" xfId="1" applyNumberFormat="1" applyFont="1" applyFill="1" applyBorder="1" applyAlignment="1">
      <alignment vertical="center" wrapText="1"/>
    </xf>
    <xf numFmtId="3" fontId="15" fillId="2" borderId="38" xfId="0" applyNumberFormat="1" applyFont="1" applyFill="1" applyBorder="1" applyAlignment="1">
      <alignment vertical="center" wrapText="1"/>
    </xf>
    <xf numFmtId="3" fontId="15" fillId="2" borderId="39" xfId="0" applyNumberFormat="1" applyFont="1" applyFill="1" applyBorder="1" applyAlignment="1">
      <alignment vertical="center" wrapText="1"/>
    </xf>
    <xf numFmtId="3" fontId="15" fillId="2" borderId="55" xfId="0" applyNumberFormat="1" applyFont="1" applyFill="1" applyBorder="1" applyAlignment="1">
      <alignment vertical="center" wrapText="1"/>
    </xf>
    <xf numFmtId="3" fontId="15" fillId="2" borderId="6" xfId="0" applyNumberFormat="1" applyFont="1" applyFill="1" applyBorder="1" applyAlignment="1">
      <alignment vertical="center" wrapText="1"/>
    </xf>
    <xf numFmtId="3" fontId="15" fillId="2" borderId="18" xfId="0" applyNumberFormat="1" applyFont="1" applyFill="1" applyBorder="1" applyAlignment="1">
      <alignment horizontal="right" vertical="center" wrapText="1"/>
    </xf>
    <xf numFmtId="3" fontId="16" fillId="2" borderId="18" xfId="0" applyNumberFormat="1" applyFont="1" applyFill="1" applyBorder="1" applyAlignment="1">
      <alignment horizontal="right" vertical="center" wrapText="1"/>
    </xf>
    <xf numFmtId="3" fontId="15" fillId="2" borderId="18" xfId="0" applyNumberFormat="1" applyFont="1" applyFill="1" applyBorder="1" applyAlignment="1">
      <alignment vertical="center" wrapText="1"/>
    </xf>
    <xf numFmtId="3" fontId="15" fillId="2" borderId="56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3" fontId="15" fillId="2" borderId="55" xfId="0" applyNumberFormat="1" applyFont="1" applyFill="1" applyBorder="1" applyAlignment="1">
      <alignment horizontal="right" vertical="center" wrapText="1"/>
    </xf>
    <xf numFmtId="3" fontId="15" fillId="2" borderId="38" xfId="0" applyNumberFormat="1" applyFont="1" applyFill="1" applyBorder="1" applyAlignment="1">
      <alignment horizontal="right" vertical="center" wrapText="1"/>
    </xf>
    <xf numFmtId="3" fontId="15" fillId="2" borderId="56" xfId="0" applyNumberFormat="1" applyFont="1" applyFill="1" applyBorder="1" applyAlignment="1">
      <alignment horizontal="right" vertical="center" wrapText="1"/>
    </xf>
    <xf numFmtId="3" fontId="15" fillId="2" borderId="5" xfId="0" applyNumberFormat="1" applyFont="1" applyFill="1" applyBorder="1" applyAlignment="1">
      <alignment horizontal="right" vertical="center" wrapText="1"/>
    </xf>
    <xf numFmtId="0" fontId="15" fillId="2" borderId="12" xfId="0" applyFont="1" applyFill="1" applyBorder="1" applyAlignment="1">
      <alignment horizontal="center" vertical="center" wrapText="1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 applyAlignment="1">
      <alignment horizontal="center" vertical="center"/>
    </xf>
    <xf numFmtId="3" fontId="15" fillId="2" borderId="6" xfId="0" applyNumberFormat="1" applyFont="1" applyFill="1" applyBorder="1" applyAlignment="1">
      <alignment horizontal="right" vertical="center" wrapText="1"/>
    </xf>
    <xf numFmtId="49" fontId="13" fillId="2" borderId="14" xfId="0" applyNumberFormat="1" applyFont="1" applyFill="1" applyBorder="1" applyAlignment="1">
      <alignment horizontal="center" vertical="center" wrapText="1"/>
    </xf>
    <xf numFmtId="49" fontId="13" fillId="2" borderId="14" xfId="0" applyNumberFormat="1" applyFont="1" applyFill="1" applyBorder="1" applyAlignment="1">
      <alignment horizontal="center" vertical="center" wrapText="1" shrinkToFit="1"/>
    </xf>
    <xf numFmtId="0" fontId="14" fillId="2" borderId="30" xfId="0" applyFont="1" applyFill="1" applyBorder="1" applyAlignment="1">
      <alignment horizontal="center" vertical="center" wrapText="1"/>
    </xf>
    <xf numFmtId="3" fontId="11" fillId="2" borderId="74" xfId="0" applyNumberFormat="1" applyFont="1" applyFill="1" applyBorder="1" applyAlignment="1">
      <alignment vertical="center" wrapText="1"/>
    </xf>
    <xf numFmtId="3" fontId="11" fillId="2" borderId="14" xfId="0" applyNumberFormat="1" applyFont="1" applyFill="1" applyBorder="1" applyAlignment="1">
      <alignment horizontal="right" vertical="center" wrapText="1"/>
    </xf>
    <xf numFmtId="3" fontId="11" fillId="2" borderId="68" xfId="0" applyNumberFormat="1" applyFont="1" applyFill="1" applyBorder="1" applyAlignment="1">
      <alignment horizontal="right" vertical="center" wrapText="1"/>
    </xf>
    <xf numFmtId="49" fontId="11" fillId="2" borderId="30" xfId="0" applyNumberFormat="1" applyFont="1" applyFill="1" applyBorder="1" applyAlignment="1">
      <alignment horizontal="center" vertical="center"/>
    </xf>
    <xf numFmtId="49" fontId="13" fillId="2" borderId="15" xfId="0" applyNumberFormat="1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45" xfId="0" applyNumberFormat="1" applyFont="1" applyFill="1" applyBorder="1" applyAlignment="1">
      <alignment horizontal="center" vertical="center"/>
    </xf>
    <xf numFmtId="3" fontId="13" fillId="2" borderId="14" xfId="1" applyNumberFormat="1" applyFont="1" applyFill="1" applyBorder="1" applyAlignment="1">
      <alignment vertical="center"/>
    </xf>
    <xf numFmtId="3" fontId="13" fillId="2" borderId="30" xfId="1" applyNumberFormat="1" applyFont="1" applyFill="1" applyBorder="1" applyAlignment="1">
      <alignment vertical="center"/>
    </xf>
    <xf numFmtId="3" fontId="11" fillId="2" borderId="14" xfId="0" applyNumberFormat="1" applyFont="1" applyFill="1" applyBorder="1" applyAlignment="1">
      <alignment vertical="center"/>
    </xf>
    <xf numFmtId="3" fontId="11" fillId="2" borderId="30" xfId="0" applyNumberFormat="1" applyFont="1" applyFill="1" applyBorder="1" applyAlignment="1">
      <alignment vertical="center"/>
    </xf>
    <xf numFmtId="0" fontId="14" fillId="2" borderId="27" xfId="0" applyFont="1" applyFill="1" applyBorder="1" applyAlignment="1">
      <alignment horizontal="center" vertical="center" wrapText="1"/>
    </xf>
    <xf numFmtId="3" fontId="13" fillId="2" borderId="23" xfId="0" applyNumberFormat="1" applyFont="1" applyFill="1" applyBorder="1" applyAlignment="1">
      <alignment horizontal="right" vertical="center"/>
    </xf>
    <xf numFmtId="3" fontId="11" fillId="2" borderId="25" xfId="0" applyNumberFormat="1" applyFont="1" applyFill="1" applyBorder="1" applyAlignment="1">
      <alignment horizontal="right" vertical="center"/>
    </xf>
    <xf numFmtId="3" fontId="11" fillId="2" borderId="58" xfId="0" applyNumberFormat="1" applyFont="1" applyFill="1" applyBorder="1" applyAlignment="1">
      <alignment horizontal="right" vertical="center"/>
    </xf>
    <xf numFmtId="3" fontId="11" fillId="2" borderId="75" xfId="0" applyNumberFormat="1" applyFont="1" applyFill="1" applyBorder="1" applyAlignment="1">
      <alignment horizontal="right" vertical="center"/>
    </xf>
    <xf numFmtId="3" fontId="11" fillId="2" borderId="46" xfId="0" applyNumberFormat="1" applyFont="1" applyFill="1" applyBorder="1" applyAlignment="1">
      <alignment vertical="center" wrapText="1"/>
    </xf>
    <xf numFmtId="3" fontId="13" fillId="2" borderId="23" xfId="0" applyNumberFormat="1" applyFont="1" applyFill="1" applyBorder="1" applyAlignment="1">
      <alignment horizontal="right" vertical="center" wrapText="1"/>
    </xf>
    <xf numFmtId="49" fontId="11" fillId="2" borderId="25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 wrapText="1"/>
    </xf>
    <xf numFmtId="49" fontId="16" fillId="2" borderId="14" xfId="0" applyNumberFormat="1" applyFont="1" applyFill="1" applyBorder="1" applyAlignment="1">
      <alignment horizontal="center" vertical="center" wrapText="1" shrinkToFit="1"/>
    </xf>
    <xf numFmtId="0" fontId="45" fillId="2" borderId="30" xfId="0" applyFont="1" applyFill="1" applyBorder="1" applyAlignment="1">
      <alignment horizontal="center" vertical="center" wrapText="1"/>
    </xf>
    <xf numFmtId="3" fontId="16" fillId="2" borderId="14" xfId="0" applyNumberFormat="1" applyFont="1" applyFill="1" applyBorder="1" applyAlignment="1">
      <alignment horizontal="right" vertical="center"/>
    </xf>
    <xf numFmtId="3" fontId="15" fillId="2" borderId="30" xfId="0" applyNumberFormat="1" applyFont="1" applyFill="1" applyBorder="1" applyAlignment="1">
      <alignment horizontal="right" vertical="center"/>
    </xf>
    <xf numFmtId="3" fontId="15" fillId="2" borderId="68" xfId="0" applyNumberFormat="1" applyFont="1" applyFill="1" applyBorder="1" applyAlignment="1">
      <alignment horizontal="right" vertical="center"/>
    </xf>
    <xf numFmtId="3" fontId="15" fillId="2" borderId="52" xfId="0" applyNumberFormat="1" applyFont="1" applyFill="1" applyBorder="1" applyAlignment="1">
      <alignment horizontal="right" vertical="center"/>
    </xf>
    <xf numFmtId="3" fontId="15" fillId="2" borderId="72" xfId="0" applyNumberFormat="1" applyFont="1" applyFill="1" applyBorder="1" applyAlignment="1">
      <alignment vertical="center" wrapText="1"/>
    </xf>
    <xf numFmtId="3" fontId="15" fillId="2" borderId="74" xfId="0" applyNumberFormat="1" applyFont="1" applyFill="1" applyBorder="1" applyAlignment="1">
      <alignment vertical="center" wrapText="1"/>
    </xf>
    <xf numFmtId="3" fontId="15" fillId="2" borderId="14" xfId="0" applyNumberFormat="1" applyFont="1" applyFill="1" applyBorder="1" applyAlignment="1">
      <alignment horizontal="right" vertical="center" wrapText="1"/>
    </xf>
    <xf numFmtId="3" fontId="16" fillId="2" borderId="14" xfId="0" applyNumberFormat="1" applyFont="1" applyFill="1" applyBorder="1" applyAlignment="1">
      <alignment horizontal="right" vertical="center" wrapText="1"/>
    </xf>
    <xf numFmtId="3" fontId="15" fillId="2" borderId="14" xfId="0" applyNumberFormat="1" applyFont="1" applyFill="1" applyBorder="1" applyAlignment="1">
      <alignment vertical="center"/>
    </xf>
    <xf numFmtId="3" fontId="15" fillId="2" borderId="30" xfId="0" applyNumberFormat="1" applyFont="1" applyFill="1" applyBorder="1" applyAlignment="1">
      <alignment vertical="center"/>
    </xf>
    <xf numFmtId="0" fontId="15" fillId="2" borderId="14" xfId="0" applyFont="1" applyFill="1" applyBorder="1" applyAlignment="1">
      <alignment horizontal="center" vertical="center"/>
    </xf>
    <xf numFmtId="49" fontId="15" fillId="2" borderId="30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0" fontId="15" fillId="2" borderId="13" xfId="1" applyFont="1" applyFill="1" applyBorder="1" applyAlignment="1">
      <alignment horizontal="center" vertical="center" wrapText="1"/>
    </xf>
    <xf numFmtId="3" fontId="13" fillId="2" borderId="14" xfId="0" applyNumberFormat="1" applyFont="1" applyFill="1" applyBorder="1" applyAlignment="1">
      <alignment horizontal="right" vertical="center"/>
    </xf>
    <xf numFmtId="3" fontId="11" fillId="2" borderId="30" xfId="0" applyNumberFormat="1" applyFont="1" applyFill="1" applyBorder="1" applyAlignment="1">
      <alignment horizontal="right" vertical="center"/>
    </xf>
    <xf numFmtId="3" fontId="11" fillId="2" borderId="68" xfId="0" applyNumberFormat="1" applyFont="1" applyFill="1" applyBorder="1" applyAlignment="1">
      <alignment horizontal="right" vertical="center"/>
    </xf>
    <xf numFmtId="3" fontId="11" fillId="2" borderId="52" xfId="0" applyNumberFormat="1" applyFont="1" applyFill="1" applyBorder="1" applyAlignment="1">
      <alignment horizontal="right" vertical="center"/>
    </xf>
    <xf numFmtId="3" fontId="11" fillId="2" borderId="74" xfId="0" applyNumberFormat="1" applyFont="1" applyFill="1" applyBorder="1" applyAlignment="1">
      <alignment horizontal="right" vertical="center" wrapText="1"/>
    </xf>
    <xf numFmtId="0" fontId="11" fillId="2" borderId="30" xfId="0" applyFont="1" applyFill="1" applyBorder="1" applyAlignment="1">
      <alignment horizontal="center" vertical="center"/>
    </xf>
    <xf numFmtId="3" fontId="11" fillId="2" borderId="51" xfId="0" applyNumberFormat="1" applyFont="1" applyFill="1" applyBorder="1" applyAlignment="1">
      <alignment horizontal="right" vertical="center" wrapText="1"/>
    </xf>
    <xf numFmtId="0" fontId="11" fillId="2" borderId="25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 wrapText="1"/>
    </xf>
    <xf numFmtId="3" fontId="13" fillId="2" borderId="26" xfId="0" applyNumberFormat="1" applyFont="1" applyFill="1" applyBorder="1" applyAlignment="1">
      <alignment horizontal="right" vertical="center"/>
    </xf>
    <xf numFmtId="3" fontId="11" fillId="2" borderId="31" xfId="0" applyNumberFormat="1" applyFont="1" applyFill="1" applyBorder="1" applyAlignment="1">
      <alignment horizontal="right" vertical="center"/>
    </xf>
    <xf numFmtId="3" fontId="11" fillId="2" borderId="47" xfId="0" applyNumberFormat="1" applyFont="1" applyFill="1" applyBorder="1" applyAlignment="1">
      <alignment horizontal="right" vertical="center"/>
    </xf>
    <xf numFmtId="3" fontId="11" fillId="2" borderId="41" xfId="0" applyNumberFormat="1" applyFont="1" applyFill="1" applyBorder="1" applyAlignment="1">
      <alignment horizontal="right" vertical="center"/>
    </xf>
    <xf numFmtId="3" fontId="11" fillId="2" borderId="42" xfId="0" applyNumberFormat="1" applyFont="1" applyFill="1" applyBorder="1" applyAlignment="1">
      <alignment horizontal="right" vertical="center" wrapText="1"/>
    </xf>
    <xf numFmtId="49" fontId="11" fillId="2" borderId="31" xfId="0" applyNumberFormat="1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49" fontId="16" fillId="7" borderId="2" xfId="0" applyNumberFormat="1" applyFont="1" applyFill="1" applyBorder="1" applyAlignment="1">
      <alignment horizontal="center" vertical="center" wrapText="1"/>
    </xf>
    <xf numFmtId="3" fontId="16" fillId="3" borderId="24" xfId="0" applyNumberFormat="1" applyFont="1" applyFill="1" applyBorder="1" applyAlignment="1">
      <alignment horizontal="right" vertical="center" wrapText="1"/>
    </xf>
    <xf numFmtId="3" fontId="13" fillId="2" borderId="16" xfId="0" applyNumberFormat="1" applyFont="1" applyFill="1" applyBorder="1" applyAlignment="1">
      <alignment horizontal="right" vertical="center" wrapText="1"/>
    </xf>
    <xf numFmtId="3" fontId="11" fillId="2" borderId="68" xfId="0" applyNumberFormat="1" applyFont="1" applyFill="1" applyBorder="1" applyAlignment="1">
      <alignment vertical="center"/>
    </xf>
    <xf numFmtId="3" fontId="11" fillId="2" borderId="69" xfId="0" applyNumberFormat="1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 vertical="center" wrapText="1"/>
    </xf>
    <xf numFmtId="3" fontId="13" fillId="2" borderId="13" xfId="0" applyNumberFormat="1" applyFont="1" applyFill="1" applyBorder="1" applyAlignment="1">
      <alignment horizontal="right" vertical="center"/>
    </xf>
    <xf numFmtId="3" fontId="11" fillId="2" borderId="15" xfId="0" applyNumberFormat="1" applyFont="1" applyFill="1" applyBorder="1" applyAlignment="1">
      <alignment horizontal="right" vertical="center"/>
    </xf>
    <xf numFmtId="3" fontId="11" fillId="2" borderId="60" xfId="0" applyNumberFormat="1" applyFont="1" applyFill="1" applyBorder="1" applyAlignment="1">
      <alignment horizontal="right" vertical="center"/>
    </xf>
    <xf numFmtId="3" fontId="11" fillId="2" borderId="17" xfId="0" applyNumberFormat="1" applyFont="1" applyFill="1" applyBorder="1" applyAlignment="1">
      <alignment horizontal="right" vertical="center"/>
    </xf>
    <xf numFmtId="3" fontId="11" fillId="2" borderId="54" xfId="0" applyNumberFormat="1" applyFont="1" applyFill="1" applyBorder="1" applyAlignment="1">
      <alignment horizontal="right" vertical="center" wrapText="1"/>
    </xf>
    <xf numFmtId="3" fontId="11" fillId="2" borderId="61" xfId="0" applyNumberFormat="1" applyFont="1" applyFill="1" applyBorder="1" applyAlignment="1">
      <alignment horizontal="right" vertical="center" wrapText="1"/>
    </xf>
    <xf numFmtId="3" fontId="11" fillId="2" borderId="60" xfId="0" applyNumberFormat="1" applyFont="1" applyFill="1" applyBorder="1" applyAlignment="1">
      <alignment horizontal="right" vertical="center" wrapText="1"/>
    </xf>
    <xf numFmtId="3" fontId="11" fillId="2" borderId="45" xfId="0" applyNumberFormat="1" applyFont="1" applyFill="1" applyBorder="1" applyAlignment="1">
      <alignment horizontal="right" vertical="center" wrapText="1"/>
    </xf>
    <xf numFmtId="3" fontId="11" fillId="2" borderId="13" xfId="0" applyNumberFormat="1" applyFont="1" applyFill="1" applyBorder="1" applyAlignment="1">
      <alignment horizontal="right" vertical="center" wrapText="1"/>
    </xf>
    <xf numFmtId="3" fontId="13" fillId="2" borderId="45" xfId="0" applyNumberFormat="1" applyFont="1" applyFill="1" applyBorder="1" applyAlignment="1">
      <alignment horizontal="right" vertical="center" wrapText="1"/>
    </xf>
    <xf numFmtId="49" fontId="11" fillId="2" borderId="15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3" fontId="13" fillId="2" borderId="24" xfId="0" applyNumberFormat="1" applyFont="1" applyFill="1" applyBorder="1" applyAlignment="1">
      <alignment horizontal="right" vertical="center"/>
    </xf>
    <xf numFmtId="3" fontId="11" fillId="2" borderId="36" xfId="0" applyNumberFormat="1" applyFont="1" applyFill="1" applyBorder="1" applyAlignment="1">
      <alignment horizontal="right" vertical="center"/>
    </xf>
    <xf numFmtId="3" fontId="11" fillId="2" borderId="32" xfId="0" applyNumberFormat="1" applyFont="1" applyFill="1" applyBorder="1" applyAlignment="1">
      <alignment vertical="center"/>
    </xf>
    <xf numFmtId="3" fontId="11" fillId="2" borderId="47" xfId="0" applyNumberFormat="1" applyFont="1" applyFill="1" applyBorder="1" applyAlignment="1">
      <alignment vertical="center"/>
    </xf>
    <xf numFmtId="3" fontId="11" fillId="2" borderId="37" xfId="0" applyNumberFormat="1" applyFont="1" applyFill="1" applyBorder="1" applyAlignment="1">
      <alignment horizontal="right" vertical="center"/>
    </xf>
    <xf numFmtId="49" fontId="21" fillId="7" borderId="23" xfId="0" applyNumberFormat="1" applyFont="1" applyFill="1" applyBorder="1" applyAlignment="1">
      <alignment horizontal="center" vertical="center" wrapText="1"/>
    </xf>
    <xf numFmtId="49" fontId="16" fillId="7" borderId="23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3" fontId="13" fillId="2" borderId="32" xfId="0" applyNumberFormat="1" applyFont="1" applyFill="1" applyBorder="1" applyAlignment="1">
      <alignment horizontal="right" vertical="center"/>
    </xf>
    <xf numFmtId="0" fontId="14" fillId="2" borderId="25" xfId="0" applyFont="1" applyFill="1" applyBorder="1" applyAlignment="1">
      <alignment horizontal="center" vertical="center" wrapText="1"/>
    </xf>
    <xf numFmtId="3" fontId="11" fillId="2" borderId="23" xfId="0" applyNumberFormat="1" applyFont="1" applyFill="1" applyBorder="1" applyAlignment="1">
      <alignment horizontal="right" vertical="center"/>
    </xf>
    <xf numFmtId="3" fontId="11" fillId="2" borderId="24" xfId="0" applyNumberFormat="1" applyFont="1" applyFill="1" applyBorder="1" applyAlignment="1">
      <alignment horizontal="right" vertical="center"/>
    </xf>
    <xf numFmtId="3" fontId="11" fillId="2" borderId="44" xfId="0" applyNumberFormat="1" applyFont="1" applyFill="1" applyBorder="1" applyAlignment="1">
      <alignment horizontal="right" vertical="center"/>
    </xf>
    <xf numFmtId="3" fontId="11" fillId="2" borderId="27" xfId="0" applyNumberFormat="1" applyFont="1" applyFill="1" applyBorder="1" applyAlignment="1">
      <alignment horizontal="right" vertical="center"/>
    </xf>
    <xf numFmtId="49" fontId="21" fillId="0" borderId="13" xfId="0" applyNumberFormat="1" applyFont="1" applyBorder="1" applyAlignment="1">
      <alignment horizontal="center" vertical="center" wrapText="1"/>
    </xf>
    <xf numFmtId="3" fontId="21" fillId="3" borderId="13" xfId="0" applyNumberFormat="1" applyFont="1" applyFill="1" applyBorder="1" applyAlignment="1">
      <alignment horizontal="right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0" fontId="45" fillId="2" borderId="25" xfId="0" applyFont="1" applyFill="1" applyBorder="1" applyAlignment="1">
      <alignment horizontal="center" vertical="center" wrapText="1"/>
    </xf>
    <xf numFmtId="3" fontId="16" fillId="2" borderId="23" xfId="0" applyNumberFormat="1" applyFont="1" applyFill="1" applyBorder="1" applyAlignment="1">
      <alignment horizontal="right" vertical="center"/>
    </xf>
    <xf numFmtId="3" fontId="15" fillId="2" borderId="23" xfId="0" applyNumberFormat="1" applyFont="1" applyFill="1" applyBorder="1" applyAlignment="1">
      <alignment horizontal="right" vertical="center"/>
    </xf>
    <xf numFmtId="3" fontId="15" fillId="2" borderId="58" xfId="0" applyNumberFormat="1" applyFont="1" applyFill="1" applyBorder="1" applyAlignment="1">
      <alignment horizontal="right" vertical="center"/>
    </xf>
    <xf numFmtId="3" fontId="15" fillId="2" borderId="24" xfId="0" applyNumberFormat="1" applyFont="1" applyFill="1" applyBorder="1" applyAlignment="1">
      <alignment horizontal="right" vertical="center"/>
    </xf>
    <xf numFmtId="3" fontId="15" fillId="2" borderId="44" xfId="0" applyNumberFormat="1" applyFont="1" applyFill="1" applyBorder="1" applyAlignment="1">
      <alignment horizontal="right" vertical="center"/>
    </xf>
    <xf numFmtId="3" fontId="15" fillId="2" borderId="27" xfId="0" applyNumberFormat="1" applyFont="1" applyFill="1" applyBorder="1" applyAlignment="1">
      <alignment horizontal="right" vertical="center"/>
    </xf>
    <xf numFmtId="3" fontId="15" fillId="2" borderId="23" xfId="0" applyNumberFormat="1" applyFont="1" applyFill="1" applyBorder="1" applyAlignment="1">
      <alignment horizontal="right" vertical="center" wrapText="1"/>
    </xf>
    <xf numFmtId="3" fontId="16" fillId="2" borderId="23" xfId="0" applyNumberFormat="1" applyFont="1" applyFill="1" applyBorder="1" applyAlignment="1">
      <alignment horizontal="right" vertical="center" wrapText="1"/>
    </xf>
    <xf numFmtId="3" fontId="15" fillId="2" borderId="23" xfId="0" applyNumberFormat="1" applyFont="1" applyFill="1" applyBorder="1" applyAlignment="1">
      <alignment vertical="center"/>
    </xf>
    <xf numFmtId="3" fontId="15" fillId="2" borderId="24" xfId="0" applyNumberFormat="1" applyFont="1" applyFill="1" applyBorder="1" applyAlignment="1">
      <alignment vertical="center"/>
    </xf>
    <xf numFmtId="0" fontId="15" fillId="2" borderId="23" xfId="0" applyFont="1" applyFill="1" applyBorder="1" applyAlignment="1">
      <alignment horizontal="center" vertical="center"/>
    </xf>
    <xf numFmtId="49" fontId="15" fillId="2" borderId="25" xfId="0" applyNumberFormat="1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49" fontId="16" fillId="0" borderId="26" xfId="0" applyNumberFormat="1" applyFont="1" applyBorder="1" applyAlignment="1">
      <alignment horizontal="center" vertical="center" wrapText="1"/>
    </xf>
    <xf numFmtId="3" fontId="16" fillId="3" borderId="26" xfId="0" applyNumberFormat="1" applyFont="1" applyFill="1" applyBorder="1" applyAlignment="1">
      <alignment horizontal="right" vertical="center" wrapText="1"/>
    </xf>
    <xf numFmtId="3" fontId="11" fillId="2" borderId="46" xfId="0" applyNumberFormat="1" applyFont="1" applyFill="1" applyBorder="1" applyAlignment="1">
      <alignment horizontal="right" vertical="center"/>
    </xf>
    <xf numFmtId="0" fontId="14" fillId="2" borderId="19" xfId="0" applyFont="1" applyFill="1" applyBorder="1" applyAlignment="1">
      <alignment horizontal="center" vertical="center" wrapText="1"/>
    </xf>
    <xf numFmtId="3" fontId="13" fillId="2" borderId="45" xfId="0" applyNumberFormat="1" applyFont="1" applyFill="1" applyBorder="1" applyAlignment="1">
      <alignment horizontal="right" vertical="center"/>
    </xf>
    <xf numFmtId="3" fontId="11" fillId="2" borderId="13" xfId="0" applyNumberFormat="1" applyFont="1" applyFill="1" applyBorder="1" applyAlignment="1">
      <alignment horizontal="right" vertical="center"/>
    </xf>
    <xf numFmtId="3" fontId="11" fillId="2" borderId="45" xfId="0" applyNumberFormat="1" applyFont="1" applyFill="1" applyBorder="1" applyAlignment="1">
      <alignment horizontal="right" vertical="center"/>
    </xf>
    <xf numFmtId="3" fontId="11" fillId="2" borderId="54" xfId="0" applyNumberFormat="1" applyFont="1" applyFill="1" applyBorder="1" applyAlignment="1">
      <alignment horizontal="right" vertical="center"/>
    </xf>
    <xf numFmtId="3" fontId="11" fillId="2" borderId="19" xfId="0" applyNumberFormat="1" applyFont="1" applyFill="1" applyBorder="1" applyAlignment="1">
      <alignment horizontal="right" vertical="center"/>
    </xf>
    <xf numFmtId="3" fontId="11" fillId="2" borderId="45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wrapText="1"/>
    </xf>
    <xf numFmtId="49" fontId="13" fillId="4" borderId="23" xfId="0" applyNumberFormat="1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3" fontId="13" fillId="4" borderId="23" xfId="0" applyNumberFormat="1" applyFont="1" applyFill="1" applyBorder="1" applyAlignment="1">
      <alignment horizontal="right" vertical="center"/>
    </xf>
    <xf numFmtId="3" fontId="11" fillId="4" borderId="23" xfId="0" applyNumberFormat="1" applyFont="1" applyFill="1" applyBorder="1" applyAlignment="1">
      <alignment horizontal="right" vertical="center"/>
    </xf>
    <xf numFmtId="3" fontId="11" fillId="4" borderId="23" xfId="0" applyNumberFormat="1" applyFont="1" applyFill="1" applyBorder="1" applyAlignment="1">
      <alignment horizontal="right" vertical="center" wrapText="1"/>
    </xf>
    <xf numFmtId="3" fontId="13" fillId="4" borderId="23" xfId="0" applyNumberFormat="1" applyFont="1" applyFill="1" applyBorder="1" applyAlignment="1">
      <alignment horizontal="right" vertical="center" wrapText="1"/>
    </xf>
    <xf numFmtId="3" fontId="11" fillId="4" borderId="23" xfId="0" applyNumberFormat="1" applyFont="1" applyFill="1" applyBorder="1" applyAlignment="1">
      <alignment vertical="center"/>
    </xf>
    <xf numFmtId="3" fontId="11" fillId="4" borderId="58" xfId="0" applyNumberFormat="1" applyFont="1" applyFill="1" applyBorder="1" applyAlignment="1">
      <alignment horizontal="right" vertical="center"/>
    </xf>
    <xf numFmtId="3" fontId="11" fillId="4" borderId="21" xfId="0" applyNumberFormat="1" applyFont="1" applyFill="1" applyBorder="1" applyAlignment="1">
      <alignment horizontal="right" vertical="center"/>
    </xf>
    <xf numFmtId="3" fontId="11" fillId="4" borderId="24" xfId="0" applyNumberFormat="1" applyFont="1" applyFill="1" applyBorder="1" applyAlignment="1">
      <alignment horizontal="right" vertical="center"/>
    </xf>
    <xf numFmtId="49" fontId="13" fillId="4" borderId="26" xfId="0" applyNumberFormat="1" applyFont="1" applyFill="1" applyBorder="1" applyAlignment="1">
      <alignment horizontal="center" vertical="center" wrapText="1"/>
    </xf>
    <xf numFmtId="3" fontId="13" fillId="4" borderId="26" xfId="0" applyNumberFormat="1" applyFont="1" applyFill="1" applyBorder="1" applyAlignment="1">
      <alignment horizontal="right" vertical="center"/>
    </xf>
    <xf numFmtId="3" fontId="11" fillId="4" borderId="26" xfId="0" applyNumberFormat="1" applyFont="1" applyFill="1" applyBorder="1" applyAlignment="1">
      <alignment horizontal="right" vertical="center"/>
    </xf>
    <xf numFmtId="3" fontId="11" fillId="4" borderId="26" xfId="0" applyNumberFormat="1" applyFont="1" applyFill="1" applyBorder="1" applyAlignment="1">
      <alignment horizontal="right" vertical="center" wrapText="1"/>
    </xf>
    <xf numFmtId="3" fontId="13" fillId="4" borderId="26" xfId="0" applyNumberFormat="1" applyFont="1" applyFill="1" applyBorder="1" applyAlignment="1">
      <alignment horizontal="right" vertical="center" wrapText="1"/>
    </xf>
    <xf numFmtId="49" fontId="11" fillId="4" borderId="26" xfId="0" applyNumberFormat="1" applyFont="1" applyFill="1" applyBorder="1" applyAlignment="1">
      <alignment horizontal="center" vertical="center"/>
    </xf>
    <xf numFmtId="3" fontId="11" fillId="4" borderId="47" xfId="0" applyNumberFormat="1" applyFont="1" applyFill="1" applyBorder="1" applyAlignment="1">
      <alignment horizontal="right" vertical="center"/>
    </xf>
    <xf numFmtId="3" fontId="11" fillId="4" borderId="20" xfId="0" applyNumberFormat="1" applyFont="1" applyFill="1" applyBorder="1" applyAlignment="1">
      <alignment horizontal="right" vertical="center"/>
    </xf>
    <xf numFmtId="3" fontId="11" fillId="4" borderId="32" xfId="0" applyNumberFormat="1" applyFont="1" applyFill="1" applyBorder="1" applyAlignment="1">
      <alignment horizontal="right" vertical="center"/>
    </xf>
    <xf numFmtId="3" fontId="11" fillId="2" borderId="72" xfId="0" applyNumberFormat="1" applyFont="1" applyFill="1" applyBorder="1" applyAlignment="1">
      <alignment horizontal="right" vertical="center"/>
    </xf>
    <xf numFmtId="3" fontId="11" fillId="2" borderId="16" xfId="0" applyNumberFormat="1" applyFont="1" applyFill="1" applyBorder="1" applyAlignment="1">
      <alignment horizontal="right" vertical="center"/>
    </xf>
    <xf numFmtId="3" fontId="11" fillId="2" borderId="58" xfId="0" applyNumberFormat="1" applyFont="1" applyFill="1" applyBorder="1" applyAlignment="1">
      <alignment vertical="center"/>
    </xf>
    <xf numFmtId="3" fontId="11" fillId="2" borderId="21" xfId="0" applyNumberFormat="1" applyFont="1" applyFill="1" applyBorder="1" applyAlignment="1">
      <alignment vertical="center"/>
    </xf>
    <xf numFmtId="3" fontId="11" fillId="2" borderId="27" xfId="0" applyNumberFormat="1" applyFont="1" applyFill="1" applyBorder="1" applyAlignment="1">
      <alignment vertical="center"/>
    </xf>
    <xf numFmtId="3" fontId="11" fillId="2" borderId="21" xfId="0" applyNumberFormat="1" applyFont="1" applyFill="1" applyBorder="1" applyAlignment="1">
      <alignment horizontal="right" vertical="center"/>
    </xf>
    <xf numFmtId="3" fontId="15" fillId="2" borderId="68" xfId="0" applyNumberFormat="1" applyFont="1" applyFill="1" applyBorder="1" applyAlignment="1">
      <alignment vertical="center"/>
    </xf>
    <xf numFmtId="3" fontId="15" fillId="2" borderId="69" xfId="0" applyNumberFormat="1" applyFont="1" applyFill="1" applyBorder="1" applyAlignment="1">
      <alignment vertical="center"/>
    </xf>
    <xf numFmtId="3" fontId="15" fillId="2" borderId="1" xfId="0" applyNumberFormat="1" applyFont="1" applyFill="1" applyBorder="1" applyAlignment="1">
      <alignment vertical="center"/>
    </xf>
    <xf numFmtId="3" fontId="15" fillId="2" borderId="72" xfId="0" applyNumberFormat="1" applyFont="1" applyFill="1" applyBorder="1" applyAlignment="1">
      <alignment horizontal="right" vertical="center"/>
    </xf>
    <xf numFmtId="3" fontId="11" fillId="2" borderId="69" xfId="0" applyNumberFormat="1" applyFont="1" applyFill="1" applyBorder="1" applyAlignment="1">
      <alignment horizontal="right" vertical="center"/>
    </xf>
    <xf numFmtId="3" fontId="11" fillId="2" borderId="60" xfId="0" applyNumberFormat="1" applyFont="1" applyFill="1" applyBorder="1" applyAlignment="1">
      <alignment vertical="center"/>
    </xf>
    <xf numFmtId="3" fontId="15" fillId="2" borderId="58" xfId="0" applyNumberFormat="1" applyFont="1" applyFill="1" applyBorder="1" applyAlignment="1">
      <alignment vertical="center"/>
    </xf>
    <xf numFmtId="3" fontId="15" fillId="2" borderId="21" xfId="0" applyNumberFormat="1" applyFont="1" applyFill="1" applyBorder="1" applyAlignment="1">
      <alignment vertical="center"/>
    </xf>
    <xf numFmtId="3" fontId="11" fillId="2" borderId="48" xfId="0" applyNumberFormat="1" applyFont="1" applyFill="1" applyBorder="1" applyAlignment="1">
      <alignment horizontal="right" vertical="center"/>
    </xf>
    <xf numFmtId="3" fontId="11" fillId="4" borderId="32" xfId="0" applyNumberFormat="1" applyFont="1" applyFill="1" applyBorder="1" applyAlignment="1">
      <alignment vertical="center"/>
    </xf>
    <xf numFmtId="3" fontId="11" fillId="4" borderId="62" xfId="0" applyNumberFormat="1" applyFont="1" applyFill="1" applyBorder="1" applyAlignment="1">
      <alignment vertical="center"/>
    </xf>
    <xf numFmtId="3" fontId="11" fillId="4" borderId="47" xfId="0" applyNumberFormat="1" applyFont="1" applyFill="1" applyBorder="1" applyAlignment="1">
      <alignment vertical="center"/>
    </xf>
    <xf numFmtId="3" fontId="11" fillId="4" borderId="63" xfId="0" applyNumberFormat="1" applyFont="1" applyFill="1" applyBorder="1" applyAlignment="1">
      <alignment vertical="center"/>
    </xf>
    <xf numFmtId="3" fontId="11" fillId="2" borderId="51" xfId="0" applyNumberFormat="1" applyFont="1" applyFill="1" applyBorder="1" applyAlignment="1">
      <alignment horizontal="right" vertical="center"/>
    </xf>
    <xf numFmtId="3" fontId="11" fillId="2" borderId="39" xfId="0" applyNumberFormat="1" applyFont="1" applyFill="1" applyBorder="1" applyAlignment="1">
      <alignment horizontal="right" vertical="center" wrapText="1"/>
    </xf>
    <xf numFmtId="49" fontId="11" fillId="2" borderId="48" xfId="0" applyNumberFormat="1" applyFont="1" applyFill="1" applyBorder="1" applyAlignment="1">
      <alignment horizontal="center" vertical="center" wrapText="1"/>
    </xf>
    <xf numFmtId="3" fontId="11" fillId="2" borderId="57" xfId="0" applyNumberFormat="1" applyFont="1" applyFill="1" applyBorder="1" applyAlignment="1">
      <alignment vertical="center" wrapText="1"/>
    </xf>
    <xf numFmtId="3" fontId="11" fillId="2" borderId="12" xfId="0" applyNumberFormat="1" applyFont="1" applyFill="1" applyBorder="1" applyAlignment="1">
      <alignment vertical="center" wrapText="1"/>
    </xf>
    <xf numFmtId="49" fontId="13" fillId="2" borderId="30" xfId="0" applyNumberFormat="1" applyFont="1" applyFill="1" applyBorder="1" applyAlignment="1">
      <alignment horizontal="center" vertical="center" wrapText="1" shrinkToFit="1"/>
    </xf>
    <xf numFmtId="49" fontId="11" fillId="2" borderId="30" xfId="0" applyNumberFormat="1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>
      <alignment horizontal="center" vertical="center" wrapText="1" shrinkToFit="1"/>
    </xf>
    <xf numFmtId="0" fontId="14" fillId="2" borderId="30" xfId="1" applyFont="1" applyFill="1" applyBorder="1" applyAlignment="1">
      <alignment horizontal="center" vertical="center" wrapText="1"/>
    </xf>
    <xf numFmtId="3" fontId="13" fillId="2" borderId="56" xfId="0" applyNumberFormat="1" applyFont="1" applyFill="1" applyBorder="1" applyAlignment="1">
      <alignment horizontal="right" vertical="center" wrapText="1"/>
    </xf>
    <xf numFmtId="3" fontId="11" fillId="2" borderId="6" xfId="0" applyNumberFormat="1" applyFont="1" applyFill="1" applyBorder="1" applyAlignment="1">
      <alignment vertical="center"/>
    </xf>
    <xf numFmtId="3" fontId="11" fillId="2" borderId="55" xfId="0" applyNumberFormat="1" applyFont="1" applyFill="1" applyBorder="1" applyAlignment="1">
      <alignment horizontal="right" vertical="center"/>
    </xf>
    <xf numFmtId="3" fontId="11" fillId="2" borderId="38" xfId="0" applyNumberFormat="1" applyFont="1" applyFill="1" applyBorder="1" applyAlignment="1">
      <alignment horizontal="right" vertical="center"/>
    </xf>
    <xf numFmtId="3" fontId="11" fillId="2" borderId="56" xfId="0" applyNumberFormat="1" applyFont="1" applyFill="1" applyBorder="1" applyAlignment="1">
      <alignment horizontal="right" vertical="center"/>
    </xf>
    <xf numFmtId="3" fontId="11" fillId="2" borderId="6" xfId="0" applyNumberFormat="1" applyFont="1" applyFill="1" applyBorder="1" applyAlignment="1">
      <alignment horizontal="right" vertical="center"/>
    </xf>
    <xf numFmtId="49" fontId="11" fillId="2" borderId="12" xfId="0" applyNumberFormat="1" applyFont="1" applyFill="1" applyBorder="1" applyAlignment="1">
      <alignment horizontal="center" vertical="center" wrapText="1"/>
    </xf>
    <xf numFmtId="3" fontId="13" fillId="2" borderId="18" xfId="0" applyNumberFormat="1" applyFont="1" applyFill="1" applyBorder="1" applyAlignment="1">
      <alignment horizontal="right" vertical="center"/>
    </xf>
    <xf numFmtId="3" fontId="11" fillId="2" borderId="39" xfId="0" applyNumberFormat="1" applyFont="1" applyFill="1" applyBorder="1" applyAlignment="1">
      <alignment vertical="center" wrapText="1"/>
    </xf>
    <xf numFmtId="3" fontId="13" fillId="2" borderId="69" xfId="0" applyNumberFormat="1" applyFont="1" applyFill="1" applyBorder="1" applyAlignment="1">
      <alignment horizontal="right" vertical="center" wrapText="1"/>
    </xf>
    <xf numFmtId="3" fontId="11" fillId="2" borderId="16" xfId="0" applyNumberFormat="1" applyFont="1" applyFill="1" applyBorder="1" applyAlignment="1">
      <alignment vertical="center"/>
    </xf>
    <xf numFmtId="49" fontId="13" fillId="2" borderId="30" xfId="0" applyNumberFormat="1" applyFont="1" applyFill="1" applyBorder="1" applyAlignment="1">
      <alignment horizontal="center" vertical="center" wrapText="1"/>
    </xf>
    <xf numFmtId="3" fontId="11" fillId="2" borderId="57" xfId="0" applyNumberFormat="1" applyFont="1" applyFill="1" applyBorder="1" applyAlignment="1">
      <alignment horizontal="right" vertical="center" wrapText="1"/>
    </xf>
    <xf numFmtId="3" fontId="11" fillId="2" borderId="18" xfId="0" applyNumberFormat="1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right" vertical="center" wrapText="1"/>
    </xf>
    <xf numFmtId="3" fontId="11" fillId="2" borderId="14" xfId="0" applyNumberFormat="1" applyFont="1" applyFill="1" applyBorder="1" applyAlignment="1">
      <alignment horizontal="right" vertical="center"/>
    </xf>
    <xf numFmtId="3" fontId="11" fillId="2" borderId="1" xfId="0" applyNumberFormat="1" applyFont="1" applyFill="1" applyBorder="1" applyAlignment="1">
      <alignment horizontal="right" vertical="center"/>
    </xf>
    <xf numFmtId="49" fontId="13" fillId="2" borderId="31" xfId="0" applyNumberFormat="1" applyFont="1" applyFill="1" applyBorder="1" applyAlignment="1">
      <alignment horizontal="center" vertical="center" wrapText="1"/>
    </xf>
    <xf numFmtId="3" fontId="11" fillId="2" borderId="75" xfId="0" applyNumberFormat="1" applyFont="1" applyFill="1" applyBorder="1" applyAlignment="1">
      <alignment horizontal="right" vertical="center" wrapText="1"/>
    </xf>
    <xf numFmtId="3" fontId="18" fillId="2" borderId="2" xfId="0" applyNumberFormat="1" applyFont="1" applyFill="1" applyBorder="1" applyAlignment="1">
      <alignment horizontal="right" vertical="center" wrapText="1"/>
    </xf>
    <xf numFmtId="0" fontId="11" fillId="2" borderId="77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3" fontId="11" fillId="2" borderId="17" xfId="0" applyNumberFormat="1" applyFont="1" applyFill="1" applyBorder="1" applyAlignment="1">
      <alignment horizontal="right" vertical="center" wrapText="1"/>
    </xf>
    <xf numFmtId="3" fontId="11" fillId="2" borderId="19" xfId="0" applyNumberFormat="1" applyFont="1" applyFill="1" applyBorder="1" applyAlignment="1">
      <alignment horizontal="right" vertical="center" wrapText="1"/>
    </xf>
    <xf numFmtId="49" fontId="13" fillId="2" borderId="25" xfId="0" applyNumberFormat="1" applyFont="1" applyFill="1" applyBorder="1" applyAlignment="1">
      <alignment horizontal="center" vertical="center" wrapText="1"/>
    </xf>
    <xf numFmtId="3" fontId="13" fillId="2" borderId="25" xfId="0" applyNumberFormat="1" applyFont="1" applyFill="1" applyBorder="1" applyAlignment="1">
      <alignment horizontal="right" vertical="center" wrapText="1"/>
    </xf>
    <xf numFmtId="3" fontId="13" fillId="2" borderId="2" xfId="0" applyNumberFormat="1" applyFont="1" applyFill="1" applyBorder="1" applyAlignment="1">
      <alignment horizontal="right" vertical="center" wrapText="1"/>
    </xf>
    <xf numFmtId="3" fontId="11" fillId="2" borderId="31" xfId="0" applyNumberFormat="1" applyFont="1" applyFill="1" applyBorder="1" applyAlignment="1">
      <alignment horizontal="right" vertical="center" wrapText="1"/>
    </xf>
    <xf numFmtId="3" fontId="11" fillId="2" borderId="41" xfId="0" applyNumberFormat="1" applyFont="1" applyFill="1" applyBorder="1" applyAlignment="1">
      <alignment horizontal="right" vertical="center" wrapText="1"/>
    </xf>
    <xf numFmtId="3" fontId="11" fillId="2" borderId="37" xfId="0" applyNumberFormat="1" applyFont="1" applyFill="1" applyBorder="1" applyAlignment="1">
      <alignment horizontal="right" vertical="center" wrapText="1"/>
    </xf>
    <xf numFmtId="3" fontId="18" fillId="2" borderId="1" xfId="0" applyNumberFormat="1" applyFont="1" applyFill="1" applyBorder="1" applyAlignment="1">
      <alignment horizontal="right" vertical="center" wrapText="1"/>
    </xf>
    <xf numFmtId="3" fontId="13" fillId="2" borderId="19" xfId="0" applyNumberFormat="1" applyFont="1" applyFill="1" applyBorder="1" applyAlignment="1">
      <alignment horizontal="right" vertical="center" wrapText="1"/>
    </xf>
    <xf numFmtId="0" fontId="14" fillId="2" borderId="4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right" vertical="center"/>
    </xf>
    <xf numFmtId="3" fontId="11" fillId="2" borderId="2" xfId="0" applyNumberFormat="1" applyFont="1" applyFill="1" applyBorder="1" applyAlignment="1">
      <alignment horizontal="right" vertical="center" wrapText="1"/>
    </xf>
    <xf numFmtId="3" fontId="11" fillId="2" borderId="62" xfId="0" applyNumberFormat="1" applyFont="1" applyFill="1" applyBorder="1" applyAlignment="1">
      <alignment horizontal="right" vertical="center" wrapText="1"/>
    </xf>
    <xf numFmtId="3" fontId="11" fillId="2" borderId="46" xfId="0" applyNumberFormat="1" applyFont="1" applyFill="1" applyBorder="1" applyAlignment="1">
      <alignment horizontal="right" vertical="center" wrapText="1"/>
    </xf>
    <xf numFmtId="3" fontId="11" fillId="2" borderId="8" xfId="0" applyNumberFormat="1" applyFont="1" applyFill="1" applyBorder="1" applyAlignment="1">
      <alignment horizontal="right" vertical="center" wrapText="1"/>
    </xf>
    <xf numFmtId="3" fontId="11" fillId="2" borderId="50" xfId="0" applyNumberFormat="1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/>
    </xf>
    <xf numFmtId="3" fontId="13" fillId="2" borderId="27" xfId="0" applyNumberFormat="1" applyFont="1" applyFill="1" applyBorder="1" applyAlignment="1">
      <alignment horizontal="right" vertical="center" wrapText="1"/>
    </xf>
    <xf numFmtId="3" fontId="11" fillId="2" borderId="4" xfId="0" applyNumberFormat="1" applyFont="1" applyFill="1" applyBorder="1" applyAlignment="1">
      <alignment horizontal="right" vertical="center"/>
    </xf>
    <xf numFmtId="3" fontId="11" fillId="2" borderId="63" xfId="0" applyNumberFormat="1" applyFont="1" applyFill="1" applyBorder="1" applyAlignment="1">
      <alignment horizontal="right" vertical="center"/>
    </xf>
    <xf numFmtId="3" fontId="11" fillId="2" borderId="9" xfId="0" applyNumberFormat="1" applyFont="1" applyFill="1" applyBorder="1" applyAlignment="1">
      <alignment horizontal="right" vertical="center"/>
    </xf>
    <xf numFmtId="3" fontId="11" fillId="2" borderId="62" xfId="0" applyNumberFormat="1" applyFont="1" applyFill="1" applyBorder="1" applyAlignment="1">
      <alignment horizontal="right" vertical="center"/>
    </xf>
    <xf numFmtId="3" fontId="11" fillId="2" borderId="53" xfId="0" applyNumberFormat="1" applyFont="1" applyFill="1" applyBorder="1" applyAlignment="1">
      <alignment horizontal="right" vertical="center"/>
    </xf>
    <xf numFmtId="49" fontId="11" fillId="2" borderId="9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3" fontId="11" fillId="2" borderId="15" xfId="0" applyNumberFormat="1" applyFont="1" applyFill="1" applyBorder="1" applyAlignment="1">
      <alignment horizontal="right" vertical="center" wrapText="1"/>
    </xf>
    <xf numFmtId="3" fontId="21" fillId="3" borderId="27" xfId="0" applyNumberFormat="1" applyFont="1" applyFill="1" applyBorder="1" applyAlignment="1">
      <alignment horizontal="right" vertical="center" wrapText="1"/>
    </xf>
    <xf numFmtId="3" fontId="11" fillId="2" borderId="21" xfId="0" applyNumberFormat="1" applyFont="1" applyFill="1" applyBorder="1" applyAlignment="1">
      <alignment horizontal="right" vertical="center" wrapText="1"/>
    </xf>
    <xf numFmtId="3" fontId="11" fillId="2" borderId="48" xfId="0" applyNumberFormat="1" applyFont="1" applyFill="1" applyBorder="1" applyAlignment="1">
      <alignment horizontal="right" vertical="center" wrapText="1"/>
    </xf>
    <xf numFmtId="3" fontId="11" fillId="2" borderId="20" xfId="0" applyNumberFormat="1" applyFont="1" applyFill="1" applyBorder="1" applyAlignment="1">
      <alignment horizontal="right" vertical="center" wrapText="1"/>
    </xf>
    <xf numFmtId="49" fontId="24" fillId="11" borderId="23" xfId="0" applyNumberFormat="1" applyFont="1" applyFill="1" applyBorder="1" applyAlignment="1">
      <alignment horizontal="center" vertical="center" wrapText="1"/>
    </xf>
    <xf numFmtId="0" fontId="31" fillId="11" borderId="25" xfId="0" applyFont="1" applyFill="1" applyBorder="1" applyAlignment="1">
      <alignment horizontal="center" vertical="center" wrapText="1"/>
    </xf>
    <xf numFmtId="0" fontId="22" fillId="11" borderId="24" xfId="0" applyFont="1" applyFill="1" applyBorder="1" applyAlignment="1">
      <alignment horizontal="center" vertical="center" wrapText="1"/>
    </xf>
    <xf numFmtId="3" fontId="24" fillId="11" borderId="23" xfId="0" applyNumberFormat="1" applyFont="1" applyFill="1" applyBorder="1" applyAlignment="1">
      <alignment horizontal="right" vertical="center" wrapText="1"/>
    </xf>
    <xf numFmtId="3" fontId="22" fillId="11" borderId="25" xfId="0" applyNumberFormat="1" applyFont="1" applyFill="1" applyBorder="1" applyAlignment="1">
      <alignment horizontal="right" vertical="center" wrapText="1"/>
    </xf>
    <xf numFmtId="3" fontId="22" fillId="11" borderId="58" xfId="0" applyNumberFormat="1" applyFont="1" applyFill="1" applyBorder="1" applyAlignment="1">
      <alignment horizontal="right" vertical="center" wrapText="1"/>
    </xf>
    <xf numFmtId="3" fontId="22" fillId="11" borderId="75" xfId="0" applyNumberFormat="1" applyFont="1" applyFill="1" applyBorder="1" applyAlignment="1">
      <alignment horizontal="right" vertical="center" wrapText="1"/>
    </xf>
    <xf numFmtId="3" fontId="22" fillId="11" borderId="44" xfId="0" applyNumberFormat="1" applyFont="1" applyFill="1" applyBorder="1" applyAlignment="1">
      <alignment horizontal="right" vertical="center" wrapText="1"/>
    </xf>
    <xf numFmtId="3" fontId="11" fillId="11" borderId="23" xfId="0" applyNumberFormat="1" applyFont="1" applyFill="1" applyBorder="1" applyAlignment="1">
      <alignment horizontal="right" vertical="center"/>
    </xf>
    <xf numFmtId="3" fontId="13" fillId="11" borderId="24" xfId="0" applyNumberFormat="1" applyFont="1" applyFill="1" applyBorder="1" applyAlignment="1">
      <alignment horizontal="right" vertical="center" wrapText="1"/>
    </xf>
    <xf numFmtId="3" fontId="22" fillId="11" borderId="23" xfId="0" applyNumberFormat="1" applyFont="1" applyFill="1" applyBorder="1" applyAlignment="1">
      <alignment horizontal="right" vertical="center" wrapText="1"/>
    </xf>
    <xf numFmtId="3" fontId="22" fillId="11" borderId="24" xfId="0" applyNumberFormat="1" applyFont="1" applyFill="1" applyBorder="1" applyAlignment="1">
      <alignment horizontal="right" vertical="center" wrapText="1"/>
    </xf>
    <xf numFmtId="3" fontId="22" fillId="11" borderId="21" xfId="0" applyNumberFormat="1" applyFont="1" applyFill="1" applyBorder="1" applyAlignment="1">
      <alignment horizontal="right" vertical="center" wrapText="1"/>
    </xf>
    <xf numFmtId="3" fontId="22" fillId="11" borderId="23" xfId="0" applyNumberFormat="1" applyFont="1" applyFill="1" applyBorder="1" applyAlignment="1">
      <alignment horizontal="center" vertical="center" wrapText="1"/>
    </xf>
    <xf numFmtId="49" fontId="22" fillId="11" borderId="25" xfId="0" applyNumberFormat="1" applyFont="1" applyFill="1" applyBorder="1" applyAlignment="1">
      <alignment horizontal="center" vertical="center" wrapText="1"/>
    </xf>
    <xf numFmtId="0" fontId="22" fillId="11" borderId="23" xfId="0" applyFont="1" applyFill="1" applyBorder="1" applyAlignment="1">
      <alignment horizontal="center" vertical="center" wrapText="1"/>
    </xf>
    <xf numFmtId="49" fontId="24" fillId="11" borderId="26" xfId="0" applyNumberFormat="1" applyFont="1" applyFill="1" applyBorder="1" applyAlignment="1">
      <alignment horizontal="center" vertical="center" wrapText="1"/>
    </xf>
    <xf numFmtId="0" fontId="31" fillId="11" borderId="31" xfId="0" applyFont="1" applyFill="1" applyBorder="1" applyAlignment="1">
      <alignment horizontal="center" vertical="center" wrapText="1"/>
    </xf>
    <xf numFmtId="0" fontId="22" fillId="11" borderId="32" xfId="0" applyFont="1" applyFill="1" applyBorder="1" applyAlignment="1">
      <alignment horizontal="center" vertical="center" wrapText="1"/>
    </xf>
    <xf numFmtId="3" fontId="24" fillId="11" borderId="26" xfId="0" applyNumberFormat="1" applyFont="1" applyFill="1" applyBorder="1" applyAlignment="1">
      <alignment horizontal="right" vertical="center" wrapText="1"/>
    </xf>
    <xf numFmtId="3" fontId="22" fillId="11" borderId="31" xfId="0" applyNumberFormat="1" applyFont="1" applyFill="1" applyBorder="1" applyAlignment="1">
      <alignment horizontal="right" vertical="center" wrapText="1"/>
    </xf>
    <xf numFmtId="3" fontId="22" fillId="11" borderId="47" xfId="0" applyNumberFormat="1" applyFont="1" applyFill="1" applyBorder="1" applyAlignment="1">
      <alignment horizontal="right" vertical="center" wrapText="1"/>
    </xf>
    <xf numFmtId="3" fontId="22" fillId="11" borderId="41" xfId="0" applyNumberFormat="1" applyFont="1" applyFill="1" applyBorder="1" applyAlignment="1">
      <alignment horizontal="right" vertical="center" wrapText="1"/>
    </xf>
    <xf numFmtId="3" fontId="22" fillId="11" borderId="36" xfId="0" applyNumberFormat="1" applyFont="1" applyFill="1" applyBorder="1" applyAlignment="1">
      <alignment horizontal="right" vertical="center" wrapText="1"/>
    </xf>
    <xf numFmtId="3" fontId="11" fillId="11" borderId="26" xfId="0" applyNumberFormat="1" applyFont="1" applyFill="1" applyBorder="1" applyAlignment="1">
      <alignment horizontal="right" vertical="center"/>
    </xf>
    <xf numFmtId="3" fontId="13" fillId="11" borderId="32" xfId="0" applyNumberFormat="1" applyFont="1" applyFill="1" applyBorder="1" applyAlignment="1">
      <alignment horizontal="right" vertical="center" wrapText="1"/>
    </xf>
    <xf numFmtId="3" fontId="22" fillId="11" borderId="26" xfId="0" applyNumberFormat="1" applyFont="1" applyFill="1" applyBorder="1" applyAlignment="1">
      <alignment horizontal="right" vertical="center" wrapText="1"/>
    </xf>
    <xf numFmtId="3" fontId="22" fillId="11" borderId="32" xfId="0" applyNumberFormat="1" applyFont="1" applyFill="1" applyBorder="1" applyAlignment="1">
      <alignment horizontal="right" vertical="center" wrapText="1"/>
    </xf>
    <xf numFmtId="3" fontId="22" fillId="11" borderId="20" xfId="0" applyNumberFormat="1" applyFont="1" applyFill="1" applyBorder="1" applyAlignment="1">
      <alignment horizontal="right" vertical="center" wrapText="1"/>
    </xf>
    <xf numFmtId="3" fontId="22" fillId="11" borderId="26" xfId="0" applyNumberFormat="1" applyFont="1" applyFill="1" applyBorder="1" applyAlignment="1">
      <alignment horizontal="center" vertical="center" wrapText="1"/>
    </xf>
    <xf numFmtId="49" fontId="22" fillId="11" borderId="31" xfId="0" applyNumberFormat="1" applyFont="1" applyFill="1" applyBorder="1" applyAlignment="1">
      <alignment horizontal="center" vertical="center" wrapText="1"/>
    </xf>
    <xf numFmtId="0" fontId="22" fillId="11" borderId="26" xfId="0" applyFont="1" applyFill="1" applyBorder="1" applyAlignment="1">
      <alignment horizontal="center" vertical="center" wrapText="1"/>
    </xf>
    <xf numFmtId="3" fontId="22" fillId="11" borderId="31" xfId="0" applyNumberFormat="1" applyFont="1" applyFill="1" applyBorder="1" applyAlignment="1">
      <alignment horizontal="center" vertical="center" wrapText="1"/>
    </xf>
    <xf numFmtId="0" fontId="39" fillId="2" borderId="15" xfId="0" applyFont="1" applyFill="1" applyBorder="1" applyAlignment="1">
      <alignment horizontal="center" vertical="center" wrapText="1"/>
    </xf>
    <xf numFmtId="3" fontId="17" fillId="2" borderId="13" xfId="0" applyNumberFormat="1" applyFont="1" applyFill="1" applyBorder="1" applyAlignment="1">
      <alignment horizontal="right" vertical="center"/>
    </xf>
    <xf numFmtId="49" fontId="16" fillId="0" borderId="13" xfId="0" applyNumberFormat="1" applyFont="1" applyBorder="1" applyAlignment="1">
      <alignment horizontal="center" vertical="center" wrapText="1"/>
    </xf>
    <xf numFmtId="3" fontId="16" fillId="3" borderId="13" xfId="0" applyNumberFormat="1" applyFont="1" applyFill="1" applyBorder="1" applyAlignment="1">
      <alignment horizontal="right" vertical="center" wrapText="1"/>
    </xf>
    <xf numFmtId="49" fontId="13" fillId="4" borderId="23" xfId="0" applyNumberFormat="1" applyFont="1" applyFill="1" applyBorder="1" applyAlignment="1">
      <alignment horizontal="center" vertical="center" wrapText="1" shrinkToFit="1"/>
    </xf>
    <xf numFmtId="49" fontId="14" fillId="4" borderId="25" xfId="0" applyNumberFormat="1" applyFont="1" applyFill="1" applyBorder="1" applyAlignment="1">
      <alignment horizontal="center" vertical="center" wrapText="1"/>
    </xf>
    <xf numFmtId="3" fontId="11" fillId="4" borderId="58" xfId="0" applyNumberFormat="1" applyFont="1" applyFill="1" applyBorder="1" applyAlignment="1">
      <alignment horizontal="right" vertical="center" wrapText="1"/>
    </xf>
    <xf numFmtId="3" fontId="11" fillId="4" borderId="24" xfId="0" applyNumberFormat="1" applyFont="1" applyFill="1" applyBorder="1" applyAlignment="1">
      <alignment horizontal="right" vertical="center" wrapText="1"/>
    </xf>
    <xf numFmtId="3" fontId="11" fillId="4" borderId="47" xfId="0" applyNumberFormat="1" applyFont="1" applyFill="1" applyBorder="1" applyAlignment="1">
      <alignment horizontal="right" vertical="center" wrapText="1"/>
    </xf>
    <xf numFmtId="3" fontId="11" fillId="4" borderId="36" xfId="0" applyNumberFormat="1" applyFont="1" applyFill="1" applyBorder="1" applyAlignment="1">
      <alignment horizontal="right" vertical="center" wrapText="1"/>
    </xf>
    <xf numFmtId="3" fontId="11" fillId="4" borderId="32" xfId="0" applyNumberFormat="1" applyFont="1" applyFill="1" applyBorder="1" applyAlignment="1">
      <alignment horizontal="right" vertical="center" wrapText="1"/>
    </xf>
    <xf numFmtId="3" fontId="11" fillId="4" borderId="44" xfId="0" applyNumberFormat="1" applyFont="1" applyFill="1" applyBorder="1" applyAlignment="1">
      <alignment horizontal="right" vertical="center" wrapText="1"/>
    </xf>
    <xf numFmtId="0" fontId="14" fillId="2" borderId="31" xfId="1" applyFont="1" applyFill="1" applyBorder="1" applyAlignment="1">
      <alignment horizontal="center" vertical="center" wrapText="1"/>
    </xf>
    <xf numFmtId="3" fontId="11" fillId="2" borderId="34" xfId="0" applyNumberFormat="1" applyFont="1" applyFill="1" applyBorder="1" applyAlignment="1">
      <alignment horizontal="right" vertical="center" wrapText="1"/>
    </xf>
    <xf numFmtId="3" fontId="13" fillId="2" borderId="49" xfId="0" applyNumberFormat="1" applyFont="1" applyFill="1" applyBorder="1" applyAlignment="1">
      <alignment vertical="center" wrapText="1"/>
    </xf>
    <xf numFmtId="3" fontId="13" fillId="2" borderId="20" xfId="0" applyNumberFormat="1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horizontal="center" vertical="center" wrapText="1" shrinkToFit="1"/>
    </xf>
    <xf numFmtId="3" fontId="11" fillId="2" borderId="60" xfId="0" applyNumberFormat="1" applyFont="1" applyFill="1" applyBorder="1" applyAlignment="1">
      <alignment vertical="center" wrapText="1"/>
    </xf>
    <xf numFmtId="3" fontId="11" fillId="2" borderId="45" xfId="0" applyNumberFormat="1" applyFont="1" applyFill="1" applyBorder="1" applyAlignment="1">
      <alignment vertical="center" wrapText="1"/>
    </xf>
    <xf numFmtId="49" fontId="13" fillId="2" borderId="33" xfId="0" applyNumberFormat="1" applyFont="1" applyFill="1" applyBorder="1" applyAlignment="1">
      <alignment horizontal="center" vertical="center" wrapText="1"/>
    </xf>
    <xf numFmtId="49" fontId="11" fillId="2" borderId="27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/>
    </xf>
    <xf numFmtId="49" fontId="13" fillId="2" borderId="23" xfId="0" applyNumberFormat="1" applyFont="1" applyFill="1" applyBorder="1" applyAlignment="1">
      <alignment horizontal="center" vertical="center" shrinkToFit="1"/>
    </xf>
    <xf numFmtId="3" fontId="13" fillId="2" borderId="25" xfId="1" applyNumberFormat="1" applyFont="1" applyFill="1" applyBorder="1" applyAlignment="1">
      <alignment vertical="center"/>
    </xf>
    <xf numFmtId="3" fontId="11" fillId="2" borderId="44" xfId="0" applyNumberFormat="1" applyFont="1" applyFill="1" applyBorder="1" applyAlignment="1">
      <alignment vertical="center"/>
    </xf>
    <xf numFmtId="3" fontId="11" fillId="2" borderId="51" xfId="0" applyNumberFormat="1" applyFont="1" applyFill="1" applyBorder="1" applyAlignment="1">
      <alignment vertical="center"/>
    </xf>
    <xf numFmtId="49" fontId="11" fillId="2" borderId="27" xfId="0" applyNumberFormat="1" applyFont="1" applyFill="1" applyBorder="1" applyAlignment="1">
      <alignment horizontal="center" vertical="center"/>
    </xf>
    <xf numFmtId="0" fontId="11" fillId="2" borderId="2" xfId="1" applyFill="1" applyBorder="1" applyAlignment="1">
      <alignment horizontal="center" vertical="center" wrapText="1"/>
    </xf>
    <xf numFmtId="49" fontId="16" fillId="0" borderId="33" xfId="0" applyNumberFormat="1" applyFont="1" applyBorder="1" applyAlignment="1">
      <alignment horizontal="center" vertical="center"/>
    </xf>
    <xf numFmtId="3" fontId="16" fillId="3" borderId="35" xfId="0" applyNumberFormat="1" applyFont="1" applyFill="1" applyBorder="1" applyAlignment="1">
      <alignment horizontal="right" vertical="center"/>
    </xf>
    <xf numFmtId="49" fontId="13" fillId="2" borderId="33" xfId="0" applyNumberFormat="1" applyFont="1" applyFill="1" applyBorder="1" applyAlignment="1">
      <alignment horizontal="center" vertical="center"/>
    </xf>
    <xf numFmtId="49" fontId="13" fillId="2" borderId="33" xfId="0" applyNumberFormat="1" applyFont="1" applyFill="1" applyBorder="1" applyAlignment="1">
      <alignment horizontal="center" vertical="center" shrinkToFit="1"/>
    </xf>
    <xf numFmtId="0" fontId="14" fillId="2" borderId="40" xfId="1" applyFont="1" applyFill="1" applyBorder="1" applyAlignment="1">
      <alignment horizontal="center" vertical="center" wrapText="1"/>
    </xf>
    <xf numFmtId="3" fontId="13" fillId="2" borderId="33" xfId="1" applyNumberFormat="1" applyFont="1" applyFill="1" applyBorder="1" applyAlignment="1">
      <alignment vertical="center"/>
    </xf>
    <xf numFmtId="3" fontId="13" fillId="2" borderId="34" xfId="1" applyNumberFormat="1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horizontal="right" vertical="center"/>
    </xf>
    <xf numFmtId="3" fontId="13" fillId="2" borderId="35" xfId="0" applyNumberFormat="1" applyFont="1" applyFill="1" applyBorder="1" applyAlignment="1">
      <alignment horizontal="right" vertical="center"/>
    </xf>
    <xf numFmtId="3" fontId="11" fillId="2" borderId="3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/>
    </xf>
    <xf numFmtId="3" fontId="11" fillId="2" borderId="49" xfId="0" applyNumberFormat="1" applyFont="1" applyFill="1" applyBorder="1" applyAlignment="1">
      <alignment vertical="center"/>
    </xf>
    <xf numFmtId="3" fontId="11" fillId="2" borderId="43" xfId="0" applyNumberFormat="1" applyFont="1" applyFill="1" applyBorder="1" applyAlignment="1">
      <alignment vertical="center"/>
    </xf>
    <xf numFmtId="3" fontId="11" fillId="2" borderId="40" xfId="0" applyNumberFormat="1" applyFont="1" applyFill="1" applyBorder="1" applyAlignment="1">
      <alignment vertical="center"/>
    </xf>
    <xf numFmtId="3" fontId="11" fillId="2" borderId="49" xfId="0" applyNumberFormat="1" applyFont="1" applyFill="1" applyBorder="1" applyAlignment="1">
      <alignment horizontal="right" vertical="center"/>
    </xf>
    <xf numFmtId="3" fontId="11" fillId="2" borderId="70" xfId="0" applyNumberFormat="1" applyFont="1" applyFill="1" applyBorder="1" applyAlignment="1">
      <alignment horizontal="right" vertical="center"/>
    </xf>
    <xf numFmtId="3" fontId="11" fillId="2" borderId="40" xfId="0" applyNumberFormat="1" applyFont="1" applyFill="1" applyBorder="1" applyAlignment="1">
      <alignment horizontal="right" vertical="center"/>
    </xf>
    <xf numFmtId="49" fontId="11" fillId="2" borderId="40" xfId="0" applyNumberFormat="1" applyFont="1" applyFill="1" applyBorder="1" applyAlignment="1">
      <alignment horizontal="center" vertical="center"/>
    </xf>
    <xf numFmtId="49" fontId="11" fillId="2" borderId="34" xfId="0" applyNumberFormat="1" applyFont="1" applyFill="1" applyBorder="1" applyAlignment="1">
      <alignment horizontal="center" vertical="center"/>
    </xf>
    <xf numFmtId="3" fontId="11" fillId="2" borderId="70" xfId="0" applyNumberFormat="1" applyFont="1" applyFill="1" applyBorder="1" applyAlignment="1">
      <alignment vertical="center"/>
    </xf>
    <xf numFmtId="3" fontId="11" fillId="2" borderId="59" xfId="0" applyNumberFormat="1" applyFont="1" applyFill="1" applyBorder="1" applyAlignment="1">
      <alignment vertical="center"/>
    </xf>
    <xf numFmtId="49" fontId="16" fillId="0" borderId="22" xfId="0" applyNumberFormat="1" applyFont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right" vertical="center"/>
    </xf>
    <xf numFmtId="49" fontId="13" fillId="2" borderId="26" xfId="0" applyNumberFormat="1" applyFont="1" applyFill="1" applyBorder="1" applyAlignment="1">
      <alignment horizontal="center" vertical="center"/>
    </xf>
    <xf numFmtId="49" fontId="13" fillId="2" borderId="26" xfId="0" applyNumberFormat="1" applyFont="1" applyFill="1" applyBorder="1" applyAlignment="1">
      <alignment horizontal="center" vertical="center" shrinkToFit="1"/>
    </xf>
    <xf numFmtId="49" fontId="11" fillId="2" borderId="37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 shrinkToFit="1"/>
    </xf>
    <xf numFmtId="0" fontId="14" fillId="2" borderId="19" xfId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/>
    </xf>
    <xf numFmtId="49" fontId="18" fillId="2" borderId="13" xfId="0" applyNumberFormat="1" applyFont="1" applyFill="1" applyBorder="1" applyAlignment="1">
      <alignment horizontal="center" vertical="center"/>
    </xf>
    <xf numFmtId="49" fontId="18" fillId="2" borderId="13" xfId="0" applyNumberFormat="1" applyFont="1" applyFill="1" applyBorder="1" applyAlignment="1">
      <alignment horizontal="center" vertical="center" shrinkToFit="1"/>
    </xf>
    <xf numFmtId="0" fontId="39" fillId="2" borderId="19" xfId="1" applyFont="1" applyFill="1" applyBorder="1" applyAlignment="1">
      <alignment horizontal="center" vertical="center" wrapText="1"/>
    </xf>
    <xf numFmtId="3" fontId="18" fillId="2" borderId="13" xfId="1" applyNumberFormat="1" applyFont="1" applyFill="1" applyBorder="1" applyAlignment="1">
      <alignment vertical="center"/>
    </xf>
    <xf numFmtId="49" fontId="17" fillId="2" borderId="19" xfId="0" applyNumberFormat="1" applyFont="1" applyFill="1" applyBorder="1" applyAlignment="1">
      <alignment horizontal="center" vertical="center"/>
    </xf>
    <xf numFmtId="3" fontId="35" fillId="3" borderId="35" xfId="0" applyNumberFormat="1" applyFont="1" applyFill="1" applyBorder="1" applyAlignment="1">
      <alignment vertical="center"/>
    </xf>
    <xf numFmtId="49" fontId="13" fillId="2" borderId="6" xfId="0" applyNumberFormat="1" applyFont="1" applyFill="1" applyBorder="1" applyAlignment="1">
      <alignment horizontal="center" vertical="center" wrapText="1" shrinkToFit="1"/>
    </xf>
    <xf numFmtId="0" fontId="14" fillId="2" borderId="5" xfId="0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3" fontId="13" fillId="2" borderId="12" xfId="1" applyNumberFormat="1" applyFont="1" applyFill="1" applyBorder="1" applyAlignment="1">
      <alignment horizontal="right" vertical="center" wrapText="1"/>
    </xf>
    <xf numFmtId="3" fontId="11" fillId="2" borderId="55" xfId="1" applyNumberFormat="1" applyFill="1" applyBorder="1" applyAlignment="1">
      <alignment horizontal="right" vertical="center" wrapText="1"/>
    </xf>
    <xf numFmtId="3" fontId="11" fillId="2" borderId="57" xfId="1" applyNumberFormat="1" applyFill="1" applyBorder="1" applyAlignment="1">
      <alignment horizontal="right" vertical="center" wrapText="1"/>
    </xf>
    <xf numFmtId="3" fontId="35" fillId="3" borderId="45" xfId="0" applyNumberFormat="1" applyFont="1" applyFill="1" applyBorder="1" applyAlignment="1">
      <alignment horizontal="right" vertical="center" wrapText="1"/>
    </xf>
    <xf numFmtId="49" fontId="13" fillId="4" borderId="22" xfId="0" applyNumberFormat="1" applyFont="1" applyFill="1" applyBorder="1" applyAlignment="1">
      <alignment horizontal="center" vertical="center" wrapText="1"/>
    </xf>
    <xf numFmtId="49" fontId="13" fillId="4" borderId="29" xfId="0" applyNumberFormat="1" applyFont="1" applyFill="1" applyBorder="1" applyAlignment="1">
      <alignment horizontal="center" vertical="center" wrapText="1" shrinkToFit="1"/>
    </xf>
    <xf numFmtId="0" fontId="14" fillId="4" borderId="0" xfId="0" applyFont="1" applyFill="1" applyAlignment="1">
      <alignment horizontal="center" vertical="center" wrapText="1"/>
    </xf>
    <xf numFmtId="3" fontId="11" fillId="4" borderId="71" xfId="0" applyNumberFormat="1" applyFont="1" applyFill="1" applyBorder="1" applyAlignment="1">
      <alignment horizontal="right" vertical="center" wrapText="1"/>
    </xf>
    <xf numFmtId="3" fontId="11" fillId="4" borderId="73" xfId="0" applyNumberFormat="1" applyFont="1" applyFill="1" applyBorder="1" applyAlignment="1">
      <alignment horizontal="right" vertical="center" wrapText="1"/>
    </xf>
    <xf numFmtId="3" fontId="11" fillId="4" borderId="64" xfId="0" applyNumberFormat="1" applyFont="1" applyFill="1" applyBorder="1" applyAlignment="1">
      <alignment horizontal="right" vertical="center" wrapText="1"/>
    </xf>
    <xf numFmtId="3" fontId="11" fillId="4" borderId="29" xfId="0" applyNumberFormat="1" applyFont="1" applyFill="1" applyBorder="1" applyAlignment="1">
      <alignment horizontal="right" vertical="center" wrapText="1"/>
    </xf>
    <xf numFmtId="3" fontId="13" fillId="4" borderId="22" xfId="0" applyNumberFormat="1" applyFont="1" applyFill="1" applyBorder="1" applyAlignment="1">
      <alignment horizontal="right" vertical="center" wrapText="1"/>
    </xf>
    <xf numFmtId="3" fontId="11" fillId="4" borderId="0" xfId="0" applyNumberFormat="1" applyFont="1" applyFill="1" applyAlignment="1">
      <alignment horizontal="right" vertical="center" wrapText="1"/>
    </xf>
    <xf numFmtId="49" fontId="13" fillId="4" borderId="32" xfId="0" applyNumberFormat="1" applyFont="1" applyFill="1" applyBorder="1" applyAlignment="1">
      <alignment horizontal="center" vertical="center" wrapText="1" shrinkToFit="1"/>
    </xf>
    <xf numFmtId="0" fontId="14" fillId="4" borderId="37" xfId="0" applyFont="1" applyFill="1" applyBorder="1" applyAlignment="1">
      <alignment horizontal="center" vertical="center" wrapText="1"/>
    </xf>
    <xf numFmtId="3" fontId="11" fillId="4" borderId="42" xfId="0" applyNumberFormat="1" applyFont="1" applyFill="1" applyBorder="1" applyAlignment="1">
      <alignment horizontal="right" vertical="center" wrapText="1"/>
    </xf>
    <xf numFmtId="3" fontId="11" fillId="4" borderId="37" xfId="0" applyNumberFormat="1" applyFont="1" applyFill="1" applyBorder="1" applyAlignment="1">
      <alignment horizontal="right" vertical="center" wrapText="1"/>
    </xf>
    <xf numFmtId="3" fontId="11" fillId="4" borderId="3" xfId="0" applyNumberFormat="1" applyFont="1" applyFill="1" applyBorder="1" applyAlignment="1">
      <alignment horizontal="right" vertical="center" wrapText="1"/>
    </xf>
    <xf numFmtId="0" fontId="36" fillId="2" borderId="0" xfId="0" applyFont="1" applyFill="1" applyAlignment="1">
      <alignment wrapText="1"/>
    </xf>
    <xf numFmtId="0" fontId="36" fillId="2" borderId="0" xfId="0" applyFont="1" applyFill="1"/>
    <xf numFmtId="0" fontId="40" fillId="2" borderId="0" xfId="0" applyFont="1" applyFill="1"/>
    <xf numFmtId="3" fontId="36" fillId="2" borderId="0" xfId="0" applyNumberFormat="1" applyFont="1" applyFill="1"/>
    <xf numFmtId="0" fontId="29" fillId="2" borderId="0" xfId="0" applyFont="1" applyFill="1" applyAlignment="1">
      <alignment horizontal="right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vertical="center"/>
    </xf>
    <xf numFmtId="0" fontId="11" fillId="2" borderId="24" xfId="1" applyFill="1" applyBorder="1" applyAlignment="1">
      <alignment horizontal="center" vertical="center" wrapText="1"/>
    </xf>
    <xf numFmtId="0" fontId="11" fillId="2" borderId="23" xfId="1" applyFill="1" applyBorder="1" applyAlignment="1">
      <alignment horizontal="center" vertical="center" wrapText="1"/>
    </xf>
    <xf numFmtId="3" fontId="11" fillId="2" borderId="58" xfId="1" applyNumberFormat="1" applyFill="1" applyBorder="1" applyAlignment="1">
      <alignment vertical="center" wrapText="1"/>
    </xf>
    <xf numFmtId="3" fontId="11" fillId="2" borderId="75" xfId="1" applyNumberFormat="1" applyFill="1" applyBorder="1" applyAlignment="1">
      <alignment vertical="center" wrapText="1"/>
    </xf>
    <xf numFmtId="0" fontId="11" fillId="2" borderId="27" xfId="1" applyFill="1" applyBorder="1" applyAlignment="1">
      <alignment horizontal="center" vertical="center" wrapText="1"/>
    </xf>
    <xf numFmtId="0" fontId="37" fillId="0" borderId="1" xfId="0" applyFont="1" applyBorder="1"/>
    <xf numFmtId="3" fontId="11" fillId="2" borderId="55" xfId="1" applyNumberFormat="1" applyFill="1" applyBorder="1" applyAlignment="1">
      <alignment vertical="center" wrapText="1"/>
    </xf>
    <xf numFmtId="3" fontId="11" fillId="2" borderId="57" xfId="1" applyNumberFormat="1" applyFill="1" applyBorder="1" applyAlignment="1">
      <alignment vertical="center" wrapText="1"/>
    </xf>
    <xf numFmtId="0" fontId="37" fillId="0" borderId="5" xfId="0" applyFont="1" applyBorder="1"/>
    <xf numFmtId="0" fontId="43" fillId="0" borderId="0" xfId="0" applyFont="1"/>
    <xf numFmtId="0" fontId="11" fillId="2" borderId="26" xfId="1" applyFill="1" applyBorder="1" applyAlignment="1">
      <alignment horizontal="center" vertical="center" wrapText="1"/>
    </xf>
    <xf numFmtId="3" fontId="11" fillId="2" borderId="47" xfId="1" applyNumberFormat="1" applyFill="1" applyBorder="1" applyAlignment="1">
      <alignment horizontal="right" vertical="center" wrapText="1"/>
    </xf>
    <xf numFmtId="3" fontId="11" fillId="2" borderId="41" xfId="1" applyNumberFormat="1" applyFill="1" applyBorder="1" applyAlignment="1">
      <alignment horizontal="right" vertical="center" wrapText="1"/>
    </xf>
    <xf numFmtId="0" fontId="43" fillId="0" borderId="1" xfId="0" applyFont="1" applyBorder="1"/>
    <xf numFmtId="0" fontId="11" fillId="4" borderId="22" xfId="1" applyFill="1" applyBorder="1" applyAlignment="1">
      <alignment horizontal="center" vertical="center" wrapText="1"/>
    </xf>
    <xf numFmtId="3" fontId="11" fillId="4" borderId="64" xfId="1" applyNumberFormat="1" applyFill="1" applyBorder="1" applyAlignment="1">
      <alignment horizontal="right" vertical="center" wrapText="1"/>
    </xf>
    <xf numFmtId="3" fontId="11" fillId="4" borderId="66" xfId="1" applyNumberFormat="1" applyFill="1" applyBorder="1" applyAlignment="1">
      <alignment horizontal="right" vertical="center" wrapText="1"/>
    </xf>
    <xf numFmtId="0" fontId="11" fillId="4" borderId="26" xfId="1" applyFill="1" applyBorder="1" applyAlignment="1">
      <alignment horizontal="center" vertical="center" wrapText="1"/>
    </xf>
    <xf numFmtId="3" fontId="11" fillId="4" borderId="47" xfId="1" applyNumberFormat="1" applyFill="1" applyBorder="1" applyAlignment="1">
      <alignment horizontal="right" vertical="center" wrapText="1"/>
    </xf>
    <xf numFmtId="3" fontId="11" fillId="4" borderId="41" xfId="1" applyNumberFormat="1" applyFill="1" applyBorder="1" applyAlignment="1">
      <alignment horizontal="right" vertical="center" wrapText="1"/>
    </xf>
    <xf numFmtId="0" fontId="32" fillId="0" borderId="0" xfId="0" applyFont="1"/>
    <xf numFmtId="0" fontId="11" fillId="2" borderId="16" xfId="1" applyFill="1" applyBorder="1" applyAlignment="1">
      <alignment horizontal="center" vertical="center" wrapText="1"/>
    </xf>
    <xf numFmtId="0" fontId="11" fillId="2" borderId="14" xfId="1" applyFill="1" applyBorder="1" applyAlignment="1">
      <alignment horizontal="center" vertical="center" wrapText="1"/>
    </xf>
    <xf numFmtId="3" fontId="11" fillId="2" borderId="68" xfId="1" applyNumberFormat="1" applyFill="1" applyBorder="1" applyAlignment="1">
      <alignment vertical="center" wrapText="1"/>
    </xf>
    <xf numFmtId="3" fontId="11" fillId="2" borderId="52" xfId="1" applyNumberFormat="1" applyFill="1" applyBorder="1" applyAlignment="1">
      <alignment vertical="center" wrapText="1"/>
    </xf>
    <xf numFmtId="3" fontId="11" fillId="0" borderId="14" xfId="1" applyNumberFormat="1" applyBorder="1" applyAlignment="1">
      <alignment horizontal="center" vertical="center" wrapText="1"/>
    </xf>
    <xf numFmtId="3" fontId="11" fillId="0" borderId="30" xfId="1" applyNumberFormat="1" applyBorder="1" applyAlignment="1">
      <alignment horizontal="center" vertical="center" wrapText="1"/>
    </xf>
    <xf numFmtId="3" fontId="11" fillId="0" borderId="68" xfId="1" applyNumberFormat="1" applyBorder="1" applyAlignment="1">
      <alignment horizontal="center" vertical="center" wrapText="1"/>
    </xf>
    <xf numFmtId="3" fontId="11" fillId="0" borderId="52" xfId="1" applyNumberFormat="1" applyBorder="1" applyAlignment="1">
      <alignment horizontal="center" vertical="center" wrapText="1"/>
    </xf>
    <xf numFmtId="3" fontId="11" fillId="4" borderId="58" xfId="1" applyNumberFormat="1" applyFill="1" applyBorder="1" applyAlignment="1">
      <alignment horizontal="right" vertical="center" wrapText="1"/>
    </xf>
    <xf numFmtId="3" fontId="11" fillId="4" borderId="75" xfId="1" applyNumberFormat="1" applyFill="1" applyBorder="1" applyAlignment="1">
      <alignment horizontal="right" vertical="center" wrapText="1"/>
    </xf>
    <xf numFmtId="0" fontId="11" fillId="4" borderId="23" xfId="1" applyFill="1" applyBorder="1" applyAlignment="1">
      <alignment horizontal="center" vertical="center" wrapText="1"/>
    </xf>
    <xf numFmtId="0" fontId="11" fillId="2" borderId="1" xfId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11" fillId="2" borderId="32" xfId="1" applyFill="1" applyBorder="1" applyAlignment="1">
      <alignment horizontal="center" vertical="center" wrapText="1"/>
    </xf>
    <xf numFmtId="0" fontId="11" fillId="2" borderId="37" xfId="1" applyFill="1" applyBorder="1" applyAlignment="1">
      <alignment horizontal="center" vertical="center" wrapText="1"/>
    </xf>
    <xf numFmtId="0" fontId="11" fillId="2" borderId="45" xfId="1" applyFill="1" applyBorder="1" applyAlignment="1">
      <alignment horizontal="center" vertical="center" wrapText="1"/>
    </xf>
    <xf numFmtId="0" fontId="11" fillId="2" borderId="13" xfId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3" fontId="11" fillId="2" borderId="58" xfId="1" applyNumberFormat="1" applyFill="1" applyBorder="1" applyAlignment="1">
      <alignment vertical="center"/>
    </xf>
    <xf numFmtId="3" fontId="11" fillId="2" borderId="75" xfId="1" applyNumberFormat="1" applyFill="1" applyBorder="1" applyAlignment="1">
      <alignment vertical="center"/>
    </xf>
    <xf numFmtId="0" fontId="11" fillId="2" borderId="35" xfId="1" applyFill="1" applyBorder="1" applyAlignment="1">
      <alignment horizontal="center" vertical="center" wrapText="1"/>
    </xf>
    <xf numFmtId="0" fontId="11" fillId="2" borderId="33" xfId="1" applyFill="1" applyBorder="1" applyAlignment="1">
      <alignment horizontal="center" vertical="center" wrapText="1"/>
    </xf>
    <xf numFmtId="3" fontId="11" fillId="2" borderId="49" xfId="1" applyNumberFormat="1" applyFill="1" applyBorder="1" applyAlignment="1">
      <alignment vertical="center"/>
    </xf>
    <xf numFmtId="3" fontId="11" fillId="2" borderId="76" xfId="1" applyNumberFormat="1" applyFill="1" applyBorder="1" applyAlignment="1">
      <alignment vertical="center"/>
    </xf>
    <xf numFmtId="3" fontId="11" fillId="2" borderId="42" xfId="1" applyNumberFormat="1" applyFill="1" applyBorder="1" applyAlignment="1">
      <alignment vertical="center"/>
    </xf>
    <xf numFmtId="3" fontId="11" fillId="2" borderId="47" xfId="1" applyNumberFormat="1" applyFill="1" applyBorder="1" applyAlignment="1">
      <alignment vertical="center"/>
    </xf>
    <xf numFmtId="3" fontId="11" fillId="2" borderId="41" xfId="1" applyNumberFormat="1" applyFill="1" applyBorder="1" applyAlignment="1">
      <alignment vertical="center"/>
    </xf>
    <xf numFmtId="3" fontId="11" fillId="2" borderId="60" xfId="1" applyNumberFormat="1" applyFill="1" applyBorder="1" applyAlignment="1">
      <alignment vertical="center"/>
    </xf>
    <xf numFmtId="3" fontId="11" fillId="2" borderId="17" xfId="1" applyNumberFormat="1" applyFill="1" applyBorder="1" applyAlignment="1">
      <alignment vertical="center"/>
    </xf>
    <xf numFmtId="3" fontId="11" fillId="2" borderId="16" xfId="1" applyNumberFormat="1" applyFill="1" applyBorder="1" applyAlignment="1">
      <alignment vertical="center" wrapText="1"/>
    </xf>
    <xf numFmtId="3" fontId="11" fillId="2" borderId="1" xfId="1" applyNumberFormat="1" applyFill="1" applyBorder="1" applyAlignment="1">
      <alignment vertical="center" wrapText="1"/>
    </xf>
    <xf numFmtId="49" fontId="11" fillId="2" borderId="23" xfId="1" applyNumberFormat="1" applyFill="1" applyBorder="1" applyAlignment="1">
      <alignment horizontal="center" vertical="center" wrapText="1"/>
    </xf>
    <xf numFmtId="3" fontId="11" fillId="2" borderId="47" xfId="1" applyNumberFormat="1" applyFill="1" applyBorder="1" applyAlignment="1">
      <alignment vertical="center" wrapText="1"/>
    </xf>
    <xf numFmtId="3" fontId="11" fillId="2" borderId="41" xfId="1" applyNumberFormat="1" applyFill="1" applyBorder="1" applyAlignment="1">
      <alignment vertical="center" wrapText="1"/>
    </xf>
    <xf numFmtId="3" fontId="11" fillId="2" borderId="68" xfId="1" applyNumberFormat="1" applyFill="1" applyBorder="1" applyAlignment="1">
      <alignment vertical="center"/>
    </xf>
    <xf numFmtId="3" fontId="11" fillId="2" borderId="52" xfId="1" applyNumberFormat="1" applyFill="1" applyBorder="1" applyAlignment="1">
      <alignment vertical="center"/>
    </xf>
    <xf numFmtId="0" fontId="11" fillId="2" borderId="14" xfId="1" applyFill="1" applyBorder="1" applyAlignment="1">
      <alignment horizontal="center" vertical="center"/>
    </xf>
    <xf numFmtId="0" fontId="29" fillId="2" borderId="23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29" fillId="4" borderId="23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43" fillId="2" borderId="23" xfId="0" applyFont="1" applyFill="1" applyBorder="1" applyAlignment="1">
      <alignment horizontal="center" vertical="center"/>
    </xf>
    <xf numFmtId="3" fontId="11" fillId="2" borderId="72" xfId="1" applyNumberFormat="1" applyFill="1" applyBorder="1" applyAlignment="1">
      <alignment horizontal="right" vertical="center" wrapText="1"/>
    </xf>
    <xf numFmtId="3" fontId="11" fillId="2" borderId="1" xfId="1" applyNumberFormat="1" applyFill="1" applyBorder="1" applyAlignment="1">
      <alignment horizontal="right" vertical="center" wrapText="1"/>
    </xf>
    <xf numFmtId="0" fontId="11" fillId="11" borderId="27" xfId="1" applyFill="1" applyBorder="1" applyAlignment="1">
      <alignment horizontal="center" vertical="center" wrapText="1"/>
    </xf>
    <xf numFmtId="0" fontId="11" fillId="11" borderId="23" xfId="1" applyFill="1" applyBorder="1" applyAlignment="1">
      <alignment horizontal="center" vertical="center" wrapText="1"/>
    </xf>
    <xf numFmtId="0" fontId="11" fillId="11" borderId="37" xfId="1" applyFill="1" applyBorder="1" applyAlignment="1">
      <alignment horizontal="center" vertical="center" wrapText="1"/>
    </xf>
    <xf numFmtId="0" fontId="11" fillId="11" borderId="26" xfId="1" applyFill="1" applyBorder="1" applyAlignment="1">
      <alignment horizontal="center" vertical="center" wrapText="1"/>
    </xf>
    <xf numFmtId="3" fontId="36" fillId="0" borderId="0" xfId="0" applyNumberFormat="1" applyFont="1"/>
    <xf numFmtId="3" fontId="29" fillId="0" borderId="0" xfId="0" applyNumberFormat="1" applyFont="1" applyAlignment="1">
      <alignment horizontal="right"/>
    </xf>
    <xf numFmtId="0" fontId="29" fillId="0" borderId="0" xfId="0" applyFont="1" applyAlignment="1">
      <alignment wrapText="1"/>
    </xf>
    <xf numFmtId="1" fontId="29" fillId="0" borderId="0" xfId="0" applyNumberFormat="1" applyFont="1"/>
    <xf numFmtId="0" fontId="47" fillId="0" borderId="25" xfId="0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/>
    </xf>
    <xf numFmtId="0" fontId="47" fillId="0" borderId="24" xfId="0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right"/>
    </xf>
    <xf numFmtId="0" fontId="29" fillId="4" borderId="67" xfId="0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3" fontId="11" fillId="2" borderId="62" xfId="1" applyNumberFormat="1" applyFill="1" applyBorder="1" applyAlignment="1">
      <alignment horizontal="right" vertical="center" wrapText="1"/>
    </xf>
    <xf numFmtId="3" fontId="11" fillId="2" borderId="46" xfId="1" applyNumberFormat="1" applyFill="1" applyBorder="1" applyAlignment="1">
      <alignment horizontal="right" vertical="center" wrapText="1"/>
    </xf>
    <xf numFmtId="3" fontId="11" fillId="2" borderId="53" xfId="0" applyNumberFormat="1" applyFont="1" applyFill="1" applyBorder="1" applyAlignment="1">
      <alignment horizontal="right" vertical="center" wrapText="1"/>
    </xf>
    <xf numFmtId="3" fontId="11" fillId="2" borderId="9" xfId="0" applyNumberFormat="1" applyFont="1" applyFill="1" applyBorder="1" applyAlignment="1">
      <alignment horizontal="right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3" fontId="11" fillId="2" borderId="63" xfId="0" applyNumberFormat="1" applyFont="1" applyFill="1" applyBorder="1" applyAlignment="1">
      <alignment horizontal="right" vertical="center" wrapText="1"/>
    </xf>
    <xf numFmtId="0" fontId="30" fillId="2" borderId="2" xfId="0" applyFont="1" applyFill="1" applyBorder="1" applyAlignment="1">
      <alignment horizontal="center" vertical="center" wrapText="1"/>
    </xf>
    <xf numFmtId="3" fontId="11" fillId="2" borderId="39" xfId="1" applyNumberFormat="1" applyFill="1" applyBorder="1" applyAlignment="1">
      <alignment horizontal="right" vertical="center" wrapText="1"/>
    </xf>
    <xf numFmtId="3" fontId="21" fillId="3" borderId="23" xfId="0" applyNumberFormat="1" applyFont="1" applyFill="1" applyBorder="1" applyAlignment="1">
      <alignment horizontal="right" vertical="center" wrapText="1"/>
    </xf>
    <xf numFmtId="3" fontId="15" fillId="2" borderId="24" xfId="0" applyNumberFormat="1" applyFont="1" applyFill="1" applyBorder="1" applyAlignment="1">
      <alignment horizontal="right" vertical="center" wrapText="1"/>
    </xf>
    <xf numFmtId="3" fontId="15" fillId="2" borderId="58" xfId="0" applyNumberFormat="1" applyFont="1" applyFill="1" applyBorder="1" applyAlignment="1">
      <alignment horizontal="right" vertical="center" wrapText="1"/>
    </xf>
    <xf numFmtId="3" fontId="15" fillId="2" borderId="21" xfId="0" applyNumberFormat="1" applyFont="1" applyFill="1" applyBorder="1" applyAlignment="1">
      <alignment horizontal="right" vertical="center" wrapText="1"/>
    </xf>
    <xf numFmtId="3" fontId="15" fillId="2" borderId="47" xfId="0" applyNumberFormat="1" applyFont="1" applyFill="1" applyBorder="1" applyAlignment="1">
      <alignment horizontal="right" vertical="center" wrapText="1"/>
    </xf>
    <xf numFmtId="3" fontId="15" fillId="2" borderId="36" xfId="0" applyNumberFormat="1" applyFont="1" applyFill="1" applyBorder="1" applyAlignment="1">
      <alignment horizontal="right" vertical="center" wrapText="1"/>
    </xf>
    <xf numFmtId="3" fontId="15" fillId="2" borderId="20" xfId="0" applyNumberFormat="1" applyFont="1" applyFill="1" applyBorder="1" applyAlignment="1">
      <alignment horizontal="right" vertical="center" wrapText="1"/>
    </xf>
    <xf numFmtId="3" fontId="11" fillId="4" borderId="46" xfId="0" applyNumberFormat="1" applyFont="1" applyFill="1" applyBorder="1" applyAlignment="1">
      <alignment horizontal="right" vertical="center" wrapText="1"/>
    </xf>
    <xf numFmtId="3" fontId="13" fillId="4" borderId="2" xfId="0" applyNumberFormat="1" applyFont="1" applyFill="1" applyBorder="1" applyAlignment="1">
      <alignment horizontal="right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3" fontId="11" fillId="4" borderId="41" xfId="0" applyNumberFormat="1" applyFont="1" applyFill="1" applyBorder="1" applyAlignment="1">
      <alignment horizontal="right" vertical="center" wrapText="1"/>
    </xf>
    <xf numFmtId="0" fontId="41" fillId="0" borderId="5" xfId="0" applyFont="1" applyBorder="1"/>
    <xf numFmtId="0" fontId="41" fillId="0" borderId="0" xfId="0" applyFont="1"/>
    <xf numFmtId="3" fontId="15" fillId="2" borderId="26" xfId="0" applyNumberFormat="1" applyFont="1" applyFill="1" applyBorder="1" applyAlignment="1">
      <alignment horizontal="right" vertical="center" wrapText="1"/>
    </xf>
    <xf numFmtId="49" fontId="20" fillId="2" borderId="19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 shrinkToFit="1"/>
    </xf>
    <xf numFmtId="0" fontId="14" fillId="2" borderId="2" xfId="0" applyFont="1" applyFill="1" applyBorder="1" applyAlignment="1">
      <alignment horizontal="center" vertical="center" wrapText="1"/>
    </xf>
    <xf numFmtId="3" fontId="11" fillId="2" borderId="58" xfId="1" applyNumberFormat="1" applyFill="1" applyBorder="1" applyAlignment="1">
      <alignment horizontal="right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166" fontId="13" fillId="2" borderId="26" xfId="0" applyNumberFormat="1" applyFont="1" applyFill="1" applyBorder="1" applyAlignment="1">
      <alignment horizontal="center" vertical="center" wrapText="1"/>
    </xf>
    <xf numFmtId="166" fontId="13" fillId="2" borderId="26" xfId="0" applyNumberFormat="1" applyFont="1" applyFill="1" applyBorder="1" applyAlignment="1">
      <alignment horizontal="center" vertical="center" wrapText="1" shrinkToFit="1"/>
    </xf>
    <xf numFmtId="0" fontId="14" fillId="2" borderId="26" xfId="0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horizontal="right" vertical="center" wrapText="1"/>
    </xf>
    <xf numFmtId="3" fontId="11" fillId="2" borderId="41" xfId="0" applyNumberFormat="1" applyFont="1" applyFill="1" applyBorder="1" applyAlignment="1">
      <alignment vertical="center" wrapText="1"/>
    </xf>
    <xf numFmtId="3" fontId="13" fillId="2" borderId="15" xfId="1" applyNumberFormat="1" applyFont="1" applyFill="1" applyBorder="1" applyAlignment="1">
      <alignment horizontal="right" vertical="center" wrapText="1"/>
    </xf>
    <xf numFmtId="3" fontId="11" fillId="2" borderId="60" xfId="1" applyNumberFormat="1" applyFill="1" applyBorder="1" applyAlignment="1">
      <alignment horizontal="right" vertical="center" wrapText="1"/>
    </xf>
    <xf numFmtId="3" fontId="11" fillId="2" borderId="17" xfId="1" applyNumberFormat="1" applyFill="1" applyBorder="1" applyAlignment="1">
      <alignment horizontal="right" vertical="center" wrapText="1"/>
    </xf>
    <xf numFmtId="3" fontId="13" fillId="2" borderId="30" xfId="1" applyNumberFormat="1" applyFont="1" applyFill="1" applyBorder="1" applyAlignment="1">
      <alignment horizontal="right" vertical="center" wrapText="1"/>
    </xf>
    <xf numFmtId="3" fontId="11" fillId="2" borderId="68" xfId="1" applyNumberFormat="1" applyFill="1" applyBorder="1" applyAlignment="1">
      <alignment horizontal="right" vertical="center" wrapText="1"/>
    </xf>
    <xf numFmtId="3" fontId="11" fillId="2" borderId="52" xfId="1" applyNumberFormat="1" applyFill="1" applyBorder="1" applyAlignment="1">
      <alignment horizontal="right" vertical="center" wrapText="1"/>
    </xf>
    <xf numFmtId="0" fontId="14" fillId="2" borderId="23" xfId="0" applyFont="1" applyFill="1" applyBorder="1" applyAlignment="1">
      <alignment horizontal="center" vertical="center" wrapText="1"/>
    </xf>
    <xf numFmtId="3" fontId="11" fillId="2" borderId="75" xfId="1" applyNumberFormat="1" applyFill="1" applyBorder="1" applyAlignment="1">
      <alignment horizontal="right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13" fillId="2" borderId="16" xfId="0" applyNumberFormat="1" applyFont="1" applyFill="1" applyBorder="1" applyAlignment="1">
      <alignment horizontal="center" vertical="center" wrapText="1" shrinkToFit="1"/>
    </xf>
    <xf numFmtId="2" fontId="14" fillId="2" borderId="14" xfId="0" applyNumberFormat="1" applyFont="1" applyFill="1" applyBorder="1" applyAlignment="1">
      <alignment horizontal="center" vertical="center" wrapText="1"/>
    </xf>
    <xf numFmtId="2" fontId="14" fillId="2" borderId="18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21" fillId="0" borderId="23" xfId="0" applyNumberFormat="1" applyFont="1" applyBorder="1" applyAlignment="1">
      <alignment horizontal="center" vertical="center" wrapText="1"/>
    </xf>
    <xf numFmtId="49" fontId="21" fillId="2" borderId="13" xfId="0" applyNumberFormat="1" applyFont="1" applyFill="1" applyBorder="1" applyAlignment="1">
      <alignment horizontal="center" vertical="center" wrapText="1"/>
    </xf>
    <xf numFmtId="49" fontId="21" fillId="2" borderId="45" xfId="0" applyNumberFormat="1" applyFont="1" applyFill="1" applyBorder="1" applyAlignment="1">
      <alignment horizontal="center" vertical="center" wrapText="1" shrinkToFit="1"/>
    </xf>
    <xf numFmtId="2" fontId="46" fillId="2" borderId="13" xfId="0" applyNumberFormat="1" applyFont="1" applyFill="1" applyBorder="1" applyAlignment="1">
      <alignment horizontal="center" vertical="center" wrapText="1"/>
    </xf>
    <xf numFmtId="0" fontId="20" fillId="2" borderId="13" xfId="1" applyFont="1" applyFill="1" applyBorder="1" applyAlignment="1">
      <alignment horizontal="center" vertical="center" wrapText="1"/>
    </xf>
    <xf numFmtId="3" fontId="21" fillId="2" borderId="15" xfId="1" applyNumberFormat="1" applyFont="1" applyFill="1" applyBorder="1" applyAlignment="1">
      <alignment horizontal="right" vertical="center" wrapText="1"/>
    </xf>
    <xf numFmtId="3" fontId="20" fillId="2" borderId="60" xfId="1" applyNumberFormat="1" applyFont="1" applyFill="1" applyBorder="1" applyAlignment="1">
      <alignment horizontal="right" vertical="center" wrapText="1"/>
    </xf>
    <xf numFmtId="3" fontId="20" fillId="2" borderId="17" xfId="1" applyNumberFormat="1" applyFont="1" applyFill="1" applyBorder="1" applyAlignment="1">
      <alignment horizontal="right" vertical="center" wrapText="1"/>
    </xf>
    <xf numFmtId="3" fontId="20" fillId="2" borderId="60" xfId="0" applyNumberFormat="1" applyFont="1" applyFill="1" applyBorder="1" applyAlignment="1">
      <alignment horizontal="right" vertical="center" wrapText="1"/>
    </xf>
    <xf numFmtId="3" fontId="20" fillId="2" borderId="61" xfId="0" applyNumberFormat="1" applyFont="1" applyFill="1" applyBorder="1" applyAlignment="1">
      <alignment horizontal="right" vertical="center" wrapText="1"/>
    </xf>
    <xf numFmtId="3" fontId="20" fillId="2" borderId="45" xfId="0" applyNumberFormat="1" applyFont="1" applyFill="1" applyBorder="1" applyAlignment="1">
      <alignment horizontal="right" vertical="center" wrapText="1"/>
    </xf>
    <xf numFmtId="3" fontId="20" fillId="2" borderId="13" xfId="0" applyNumberFormat="1" applyFont="1" applyFill="1" applyBorder="1" applyAlignment="1">
      <alignment horizontal="right" vertical="center" wrapText="1"/>
    </xf>
    <xf numFmtId="3" fontId="21" fillId="2" borderId="13" xfId="0" applyNumberFormat="1" applyFont="1" applyFill="1" applyBorder="1" applyAlignment="1">
      <alignment horizontal="right" vertical="center" wrapText="1"/>
    </xf>
    <xf numFmtId="3" fontId="20" fillId="2" borderId="48" xfId="0" applyNumberFormat="1" applyFont="1" applyFill="1" applyBorder="1" applyAlignment="1">
      <alignment horizontal="right" vertical="center" wrapText="1"/>
    </xf>
    <xf numFmtId="3" fontId="20" fillId="2" borderId="54" xfId="0" applyNumberFormat="1" applyFont="1" applyFill="1" applyBorder="1" applyAlignment="1">
      <alignment horizontal="right" vertical="center" wrapText="1"/>
    </xf>
    <xf numFmtId="3" fontId="20" fillId="2" borderId="19" xfId="0" applyNumberFormat="1" applyFont="1" applyFill="1" applyBorder="1" applyAlignment="1">
      <alignment horizontal="right" vertical="center" wrapText="1"/>
    </xf>
    <xf numFmtId="49" fontId="20" fillId="2" borderId="15" xfId="0" applyNumberFormat="1" applyFont="1" applyFill="1" applyBorder="1" applyAlignment="1">
      <alignment horizontal="center" vertical="center" wrapText="1"/>
    </xf>
    <xf numFmtId="2" fontId="14" fillId="2" borderId="23" xfId="0" applyNumberFormat="1" applyFont="1" applyFill="1" applyBorder="1" applyAlignment="1">
      <alignment horizontal="center" vertical="center" wrapText="1"/>
    </xf>
    <xf numFmtId="3" fontId="21" fillId="3" borderId="14" xfId="0" applyNumberFormat="1" applyFont="1" applyFill="1" applyBorder="1" applyAlignment="1">
      <alignment horizontal="right" vertical="center" wrapText="1"/>
    </xf>
    <xf numFmtId="2" fontId="14" fillId="2" borderId="26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wrapText="1"/>
    </xf>
    <xf numFmtId="0" fontId="28" fillId="2" borderId="26" xfId="0" applyFont="1" applyFill="1" applyBorder="1" applyAlignment="1">
      <alignment horizontal="center" wrapText="1"/>
    </xf>
    <xf numFmtId="49" fontId="16" fillId="2" borderId="26" xfId="0" applyNumberFormat="1" applyFont="1" applyFill="1" applyBorder="1" applyAlignment="1">
      <alignment horizontal="center" vertical="center" wrapText="1"/>
    </xf>
    <xf numFmtId="49" fontId="16" fillId="2" borderId="26" xfId="0" applyNumberFormat="1" applyFont="1" applyFill="1" applyBorder="1" applyAlignment="1">
      <alignment horizontal="center" vertical="center" wrapText="1" shrinkToFit="1"/>
    </xf>
    <xf numFmtId="2" fontId="45" fillId="2" borderId="26" xfId="0" applyNumberFormat="1" applyFont="1" applyFill="1" applyBorder="1" applyAlignment="1">
      <alignment horizontal="center" vertical="center" wrapText="1"/>
    </xf>
    <xf numFmtId="0" fontId="15" fillId="2" borderId="27" xfId="1" applyFont="1" applyFill="1" applyBorder="1" applyAlignment="1">
      <alignment horizontal="center" vertical="center" wrapText="1"/>
    </xf>
    <xf numFmtId="3" fontId="16" fillId="2" borderId="26" xfId="1" applyNumberFormat="1" applyFont="1" applyFill="1" applyBorder="1" applyAlignment="1">
      <alignment vertical="center" wrapText="1"/>
    </xf>
    <xf numFmtId="3" fontId="16" fillId="2" borderId="26" xfId="1" applyNumberFormat="1" applyFont="1" applyFill="1" applyBorder="1" applyAlignment="1">
      <alignment horizontal="right" vertical="center" wrapText="1"/>
    </xf>
    <xf numFmtId="3" fontId="15" fillId="2" borderId="47" xfId="1" applyNumberFormat="1" applyFont="1" applyFill="1" applyBorder="1" applyAlignment="1">
      <alignment horizontal="right" vertical="center" wrapText="1"/>
    </xf>
    <xf numFmtId="3" fontId="15" fillId="2" borderId="41" xfId="1" applyNumberFormat="1" applyFont="1" applyFill="1" applyBorder="1" applyAlignment="1">
      <alignment horizontal="right" vertical="center" wrapText="1"/>
    </xf>
    <xf numFmtId="3" fontId="15" fillId="2" borderId="42" xfId="0" applyNumberFormat="1" applyFont="1" applyFill="1" applyBorder="1" applyAlignment="1">
      <alignment horizontal="right" vertical="center" wrapText="1"/>
    </xf>
    <xf numFmtId="3" fontId="15" fillId="2" borderId="41" xfId="0" applyNumberFormat="1" applyFont="1" applyFill="1" applyBorder="1" applyAlignment="1">
      <alignment horizontal="right" vertical="center" wrapText="1"/>
    </xf>
    <xf numFmtId="3" fontId="15" fillId="2" borderId="37" xfId="0" applyNumberFormat="1" applyFont="1" applyFill="1" applyBorder="1" applyAlignment="1">
      <alignment horizontal="right" vertical="center" wrapText="1"/>
    </xf>
    <xf numFmtId="0" fontId="15" fillId="2" borderId="26" xfId="1" applyFont="1" applyFill="1" applyBorder="1" applyAlignment="1">
      <alignment horizontal="center" vertical="center" wrapText="1"/>
    </xf>
    <xf numFmtId="3" fontId="16" fillId="3" borderId="23" xfId="0" applyNumberFormat="1" applyFont="1" applyFill="1" applyBorder="1" applyAlignment="1">
      <alignment horizontal="right" vertical="center" wrapText="1"/>
    </xf>
    <xf numFmtId="49" fontId="13" fillId="2" borderId="25" xfId="0" applyNumberFormat="1" applyFont="1" applyFill="1" applyBorder="1" applyAlignment="1">
      <alignment horizontal="center" vertical="center" wrapText="1" shrinkToFit="1"/>
    </xf>
    <xf numFmtId="49" fontId="14" fillId="2" borderId="25" xfId="0" applyNumberFormat="1" applyFont="1" applyFill="1" applyBorder="1" applyAlignment="1">
      <alignment horizontal="center" vertical="center"/>
    </xf>
    <xf numFmtId="49" fontId="21" fillId="2" borderId="23" xfId="0" applyNumberFormat="1" applyFont="1" applyFill="1" applyBorder="1" applyAlignment="1">
      <alignment horizontal="center" vertical="center" wrapText="1"/>
    </xf>
    <xf numFmtId="49" fontId="21" fillId="2" borderId="25" xfId="0" applyNumberFormat="1" applyFont="1" applyFill="1" applyBorder="1" applyAlignment="1">
      <alignment horizontal="center" vertical="center" wrapText="1" shrinkToFit="1"/>
    </xf>
    <xf numFmtId="49" fontId="46" fillId="2" borderId="25" xfId="0" applyNumberFormat="1" applyFont="1" applyFill="1" applyBorder="1" applyAlignment="1">
      <alignment horizontal="center" vertical="center"/>
    </xf>
    <xf numFmtId="3" fontId="20" fillId="2" borderId="58" xfId="1" applyNumberFormat="1" applyFont="1" applyFill="1" applyBorder="1" applyAlignment="1">
      <alignment horizontal="right" vertical="center" wrapText="1"/>
    </xf>
    <xf numFmtId="3" fontId="20" fillId="2" borderId="75" xfId="1" applyNumberFormat="1" applyFont="1" applyFill="1" applyBorder="1" applyAlignment="1">
      <alignment horizontal="right" vertical="center" wrapText="1"/>
    </xf>
    <xf numFmtId="3" fontId="20" fillId="2" borderId="58" xfId="0" applyNumberFormat="1" applyFont="1" applyFill="1" applyBorder="1" applyAlignment="1">
      <alignment horizontal="right" vertical="center" wrapText="1"/>
    </xf>
    <xf numFmtId="3" fontId="20" fillId="2" borderId="51" xfId="0" applyNumberFormat="1" applyFont="1" applyFill="1" applyBorder="1" applyAlignment="1">
      <alignment horizontal="right" vertical="center" wrapText="1"/>
    </xf>
    <xf numFmtId="3" fontId="20" fillId="2" borderId="23" xfId="0" applyNumberFormat="1" applyFont="1" applyFill="1" applyBorder="1" applyAlignment="1">
      <alignment horizontal="right" vertical="center" wrapText="1"/>
    </xf>
    <xf numFmtId="3" fontId="21" fillId="2" borderId="23" xfId="0" applyNumberFormat="1" applyFont="1" applyFill="1" applyBorder="1" applyAlignment="1">
      <alignment horizontal="right" vertical="center" wrapText="1"/>
    </xf>
    <xf numFmtId="3" fontId="20" fillId="2" borderId="21" xfId="0" applyNumberFormat="1" applyFont="1" applyFill="1" applyBorder="1" applyAlignment="1">
      <alignment horizontal="right" vertical="center" wrapText="1"/>
    </xf>
    <xf numFmtId="3" fontId="20" fillId="2" borderId="75" xfId="0" applyNumberFormat="1" applyFont="1" applyFill="1" applyBorder="1" applyAlignment="1">
      <alignment horizontal="right" vertical="center" wrapText="1"/>
    </xf>
    <xf numFmtId="3" fontId="20" fillId="2" borderId="44" xfId="0" applyNumberFormat="1" applyFont="1" applyFill="1" applyBorder="1" applyAlignment="1">
      <alignment horizontal="right" vertical="center" wrapText="1"/>
    </xf>
    <xf numFmtId="3" fontId="20" fillId="2" borderId="27" xfId="0" applyNumberFormat="1" applyFont="1" applyFill="1" applyBorder="1" applyAlignment="1">
      <alignment horizontal="right" vertical="center" wrapText="1"/>
    </xf>
    <xf numFmtId="49" fontId="20" fillId="2" borderId="25" xfId="0" applyNumberFormat="1" applyFont="1" applyFill="1" applyBorder="1" applyAlignment="1">
      <alignment horizontal="center" vertical="center" wrapText="1"/>
    </xf>
    <xf numFmtId="0" fontId="20" fillId="2" borderId="26" xfId="1" applyFont="1" applyFill="1" applyBorder="1" applyAlignment="1">
      <alignment horizontal="center" vertical="center" wrapText="1"/>
    </xf>
    <xf numFmtId="3" fontId="20" fillId="2" borderId="26" xfId="0" applyNumberFormat="1" applyFont="1" applyFill="1" applyBorder="1" applyAlignment="1">
      <alignment horizontal="right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9" fontId="14" fillId="2" borderId="25" xfId="0" applyNumberFormat="1" applyFont="1" applyFill="1" applyBorder="1" applyAlignment="1">
      <alignment horizontal="center" vertical="center" wrapText="1"/>
    </xf>
    <xf numFmtId="49" fontId="45" fillId="2" borderId="25" xfId="0" applyNumberFormat="1" applyFont="1" applyFill="1" applyBorder="1" applyAlignment="1">
      <alignment horizontal="center" vertical="center" wrapText="1"/>
    </xf>
    <xf numFmtId="3" fontId="16" fillId="2" borderId="23" xfId="1" applyNumberFormat="1" applyFont="1" applyFill="1" applyBorder="1" applyAlignment="1">
      <alignment vertical="center" wrapText="1"/>
    </xf>
    <xf numFmtId="3" fontId="16" fillId="2" borderId="23" xfId="1" applyNumberFormat="1" applyFont="1" applyFill="1" applyBorder="1" applyAlignment="1">
      <alignment horizontal="right" vertical="center" wrapText="1"/>
    </xf>
    <xf numFmtId="3" fontId="15" fillId="2" borderId="58" xfId="1" applyNumberFormat="1" applyFont="1" applyFill="1" applyBorder="1" applyAlignment="1">
      <alignment horizontal="right" vertical="center" wrapText="1"/>
    </xf>
    <xf numFmtId="3" fontId="15" fillId="2" borderId="75" xfId="1" applyNumberFormat="1" applyFont="1" applyFill="1" applyBorder="1" applyAlignment="1">
      <alignment horizontal="right" vertical="center" wrapText="1"/>
    </xf>
    <xf numFmtId="3" fontId="15" fillId="2" borderId="51" xfId="0" applyNumberFormat="1" applyFont="1" applyFill="1" applyBorder="1" applyAlignment="1">
      <alignment horizontal="right" vertical="center" wrapText="1"/>
    </xf>
    <xf numFmtId="3" fontId="15" fillId="2" borderId="44" xfId="0" applyNumberFormat="1" applyFont="1" applyFill="1" applyBorder="1" applyAlignment="1">
      <alignment horizontal="right" vertical="center" wrapText="1"/>
    </xf>
    <xf numFmtId="3" fontId="15" fillId="2" borderId="27" xfId="0" applyNumberFormat="1" applyFont="1" applyFill="1" applyBorder="1" applyAlignment="1">
      <alignment horizontal="right" vertical="center" wrapText="1"/>
    </xf>
    <xf numFmtId="49" fontId="15" fillId="2" borderId="25" xfId="0" applyNumberFormat="1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49" fontId="14" fillId="2" borderId="15" xfId="0" applyNumberFormat="1" applyFont="1" applyFill="1" applyBorder="1" applyAlignment="1">
      <alignment horizontal="center" vertical="center" wrapText="1"/>
    </xf>
    <xf numFmtId="49" fontId="18" fillId="2" borderId="23" xfId="0" applyNumberFormat="1" applyFont="1" applyFill="1" applyBorder="1" applyAlignment="1">
      <alignment horizontal="center" vertical="center" wrapText="1" shrinkToFit="1"/>
    </xf>
    <xf numFmtId="3" fontId="11" fillId="4" borderId="62" xfId="0" applyNumberFormat="1" applyFont="1" applyFill="1" applyBorder="1" applyAlignment="1">
      <alignment horizontal="right" vertical="center" wrapText="1"/>
    </xf>
    <xf numFmtId="3" fontId="11" fillId="4" borderId="53" xfId="0" applyNumberFormat="1" applyFont="1" applyFill="1" applyBorder="1" applyAlignment="1">
      <alignment horizontal="right" vertical="center" wrapText="1"/>
    </xf>
    <xf numFmtId="3" fontId="11" fillId="4" borderId="63" xfId="0" applyNumberFormat="1" applyFont="1" applyFill="1" applyBorder="1" applyAlignment="1">
      <alignment horizontal="right" vertical="center" wrapText="1"/>
    </xf>
    <xf numFmtId="3" fontId="11" fillId="4" borderId="9" xfId="0" applyNumberFormat="1" applyFont="1" applyFill="1" applyBorder="1" applyAlignment="1">
      <alignment horizontal="right" vertical="center" wrapText="1"/>
    </xf>
    <xf numFmtId="3" fontId="11" fillId="4" borderId="20" xfId="0" applyNumberFormat="1" applyFont="1" applyFill="1" applyBorder="1" applyAlignment="1">
      <alignment horizontal="right" vertical="center" wrapText="1"/>
    </xf>
    <xf numFmtId="3" fontId="18" fillId="2" borderId="15" xfId="1" applyNumberFormat="1" applyFont="1" applyFill="1" applyBorder="1" applyAlignment="1">
      <alignment vertical="center"/>
    </xf>
    <xf numFmtId="3" fontId="17" fillId="2" borderId="60" xfId="1" applyNumberFormat="1" applyFont="1" applyFill="1" applyBorder="1" applyAlignment="1">
      <alignment vertical="center"/>
    </xf>
    <xf numFmtId="3" fontId="17" fillId="2" borderId="17" xfId="1" applyNumberFormat="1" applyFont="1" applyFill="1" applyBorder="1" applyAlignment="1">
      <alignment vertical="center"/>
    </xf>
    <xf numFmtId="3" fontId="17" fillId="2" borderId="54" xfId="0" applyNumberFormat="1" applyFont="1" applyFill="1" applyBorder="1" applyAlignment="1">
      <alignment vertical="center"/>
    </xf>
    <xf numFmtId="3" fontId="17" fillId="2" borderId="61" xfId="0" applyNumberFormat="1" applyFont="1" applyFill="1" applyBorder="1" applyAlignment="1">
      <alignment vertical="center"/>
    </xf>
    <xf numFmtId="3" fontId="18" fillId="2" borderId="45" xfId="0" applyNumberFormat="1" applyFont="1" applyFill="1" applyBorder="1" applyAlignment="1">
      <alignment horizontal="right" vertical="center"/>
    </xf>
    <xf numFmtId="3" fontId="17" fillId="2" borderId="19" xfId="0" applyNumberFormat="1" applyFont="1" applyFill="1" applyBorder="1" applyAlignment="1">
      <alignment horizontal="right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3" fontId="35" fillId="2" borderId="45" xfId="0" applyNumberFormat="1" applyFont="1" applyFill="1" applyBorder="1" applyAlignment="1">
      <alignment vertical="center" wrapText="1"/>
    </xf>
    <xf numFmtId="3" fontId="17" fillId="2" borderId="45" xfId="0" applyNumberFormat="1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3" fontId="15" fillId="2" borderId="69" xfId="0" applyNumberFormat="1" applyFont="1" applyFill="1" applyBorder="1" applyAlignment="1">
      <alignment horizontal="right" vertical="center"/>
    </xf>
    <xf numFmtId="3" fontId="15" fillId="2" borderId="16" xfId="0" applyNumberFormat="1" applyFont="1" applyFill="1" applyBorder="1" applyAlignment="1">
      <alignment horizontal="right" vertical="center"/>
    </xf>
    <xf numFmtId="0" fontId="11" fillId="2" borderId="26" xfId="0" applyFont="1" applyFill="1" applyBorder="1" applyAlignment="1">
      <alignment horizontal="center" wrapText="1"/>
    </xf>
    <xf numFmtId="3" fontId="13" fillId="5" borderId="3" xfId="1" applyNumberFormat="1" applyFont="1" applyFill="1" applyBorder="1" applyAlignment="1">
      <alignment vertical="center" wrapText="1"/>
    </xf>
    <xf numFmtId="3" fontId="11" fillId="0" borderId="23" xfId="0" applyNumberFormat="1" applyFont="1" applyBorder="1" applyAlignment="1">
      <alignment horizontal="right" vertical="center" wrapText="1"/>
    </xf>
    <xf numFmtId="3" fontId="11" fillId="0" borderId="58" xfId="1" applyNumberFormat="1" applyBorder="1" applyAlignment="1">
      <alignment horizontal="right" vertical="center" wrapText="1"/>
    </xf>
    <xf numFmtId="3" fontId="11" fillId="0" borderId="44" xfId="0" applyNumberFormat="1" applyFont="1" applyBorder="1" applyAlignment="1">
      <alignment horizontal="right" vertical="center" wrapText="1"/>
    </xf>
    <xf numFmtId="3" fontId="11" fillId="0" borderId="51" xfId="0" applyNumberFormat="1" applyFont="1" applyBorder="1" applyAlignment="1">
      <alignment horizontal="right" vertical="center" wrapText="1"/>
    </xf>
    <xf numFmtId="3" fontId="11" fillId="0" borderId="47" xfId="1" applyNumberFormat="1" applyBorder="1" applyAlignment="1">
      <alignment horizontal="right" vertical="center" wrapText="1"/>
    </xf>
    <xf numFmtId="3" fontId="11" fillId="0" borderId="75" xfId="1" applyNumberFormat="1" applyBorder="1" applyAlignment="1">
      <alignment horizontal="right" vertical="center" wrapText="1"/>
    </xf>
    <xf numFmtId="3" fontId="11" fillId="0" borderId="36" xfId="0" applyNumberFormat="1" applyFont="1" applyBorder="1" applyAlignment="1">
      <alignment horizontal="right" vertical="center" wrapText="1"/>
    </xf>
    <xf numFmtId="3" fontId="11" fillId="0" borderId="37" xfId="0" applyNumberFormat="1" applyFont="1" applyBorder="1" applyAlignment="1">
      <alignment horizontal="right" vertical="center" wrapText="1"/>
    </xf>
    <xf numFmtId="3" fontId="11" fillId="0" borderId="26" xfId="0" applyNumberFormat="1" applyFont="1" applyBorder="1" applyAlignment="1">
      <alignment horizontal="right" vertical="center" wrapText="1"/>
    </xf>
    <xf numFmtId="3" fontId="13" fillId="0" borderId="23" xfId="1" applyNumberFormat="1" applyFont="1" applyBorder="1" applyAlignment="1">
      <alignment horizontal="right" vertical="center" wrapText="1"/>
    </xf>
    <xf numFmtId="3" fontId="13" fillId="0" borderId="26" xfId="1" applyNumberFormat="1" applyFont="1" applyBorder="1" applyAlignment="1">
      <alignment horizontal="right" vertical="center" wrapText="1"/>
    </xf>
    <xf numFmtId="3" fontId="11" fillId="0" borderId="41" xfId="1" applyNumberFormat="1" applyBorder="1" applyAlignment="1">
      <alignment horizontal="right" vertical="center" wrapText="1"/>
    </xf>
    <xf numFmtId="3" fontId="11" fillId="0" borderId="42" xfId="0" applyNumberFormat="1" applyFont="1" applyBorder="1" applyAlignment="1">
      <alignment horizontal="right" vertical="center" wrapText="1"/>
    </xf>
    <xf numFmtId="3" fontId="35" fillId="0" borderId="15" xfId="1" applyNumberFormat="1" applyFont="1" applyBorder="1" applyAlignment="1">
      <alignment horizontal="right" vertical="center" wrapText="1"/>
    </xf>
    <xf numFmtId="3" fontId="19" fillId="0" borderId="60" xfId="1" applyNumberFormat="1" applyFont="1" applyBorder="1" applyAlignment="1">
      <alignment horizontal="right" vertical="center" wrapText="1"/>
    </xf>
    <xf numFmtId="3" fontId="19" fillId="0" borderId="17" xfId="1" applyNumberFormat="1" applyFont="1" applyBorder="1" applyAlignment="1">
      <alignment horizontal="right" vertical="center" wrapText="1"/>
    </xf>
    <xf numFmtId="3" fontId="19" fillId="0" borderId="54" xfId="0" applyNumberFormat="1" applyFont="1" applyBorder="1" applyAlignment="1">
      <alignment horizontal="right" vertical="center" wrapText="1"/>
    </xf>
    <xf numFmtId="3" fontId="19" fillId="0" borderId="61" xfId="0" applyNumberFormat="1" applyFont="1" applyBorder="1" applyAlignment="1">
      <alignment horizontal="right" vertical="center" wrapText="1"/>
    </xf>
    <xf numFmtId="3" fontId="19" fillId="0" borderId="13" xfId="0" applyNumberFormat="1" applyFont="1" applyBorder="1" applyAlignment="1">
      <alignment horizontal="right" vertical="center" wrapText="1"/>
    </xf>
    <xf numFmtId="3" fontId="11" fillId="0" borderId="13" xfId="0" applyNumberFormat="1" applyFont="1" applyBorder="1" applyAlignment="1">
      <alignment horizontal="right" vertical="center" wrapText="1"/>
    </xf>
    <xf numFmtId="3" fontId="11" fillId="0" borderId="15" xfId="1" applyNumberFormat="1" applyBorder="1" applyAlignment="1">
      <alignment horizontal="center" vertical="center" wrapText="1"/>
    </xf>
    <xf numFmtId="3" fontId="11" fillId="0" borderId="60" xfId="1" applyNumberFormat="1" applyBorder="1" applyAlignment="1">
      <alignment horizontal="center" vertical="center" wrapText="1"/>
    </xf>
    <xf numFmtId="3" fontId="11" fillId="0" borderId="17" xfId="1" applyNumberFormat="1" applyBorder="1" applyAlignment="1">
      <alignment horizontal="center" vertical="center" wrapText="1"/>
    </xf>
    <xf numFmtId="3" fontId="11" fillId="0" borderId="54" xfId="0" applyNumberFormat="1" applyFont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 vertical="center" wrapText="1"/>
    </xf>
    <xf numFmtId="3" fontId="17" fillId="0" borderId="68" xfId="1" applyNumberFormat="1" applyFont="1" applyBorder="1" applyAlignment="1">
      <alignment vertical="center" wrapText="1"/>
    </xf>
    <xf numFmtId="3" fontId="17" fillId="0" borderId="52" xfId="1" applyNumberFormat="1" applyFont="1" applyBorder="1" applyAlignment="1">
      <alignment vertical="center" wrapText="1"/>
    </xf>
    <xf numFmtId="3" fontId="17" fillId="0" borderId="72" xfId="0" applyNumberFormat="1" applyFont="1" applyBorder="1" applyAlignment="1">
      <alignment vertical="center" wrapText="1"/>
    </xf>
    <xf numFmtId="3" fontId="17" fillId="0" borderId="74" xfId="0" applyNumberFormat="1" applyFont="1" applyBorder="1" applyAlignment="1">
      <alignment vertical="center" wrapText="1"/>
    </xf>
    <xf numFmtId="3" fontId="17" fillId="0" borderId="14" xfId="0" applyNumberFormat="1" applyFont="1" applyBorder="1" applyAlignment="1">
      <alignment horizontal="right" vertical="center" wrapText="1"/>
    </xf>
    <xf numFmtId="3" fontId="11" fillId="0" borderId="58" xfId="0" applyNumberFormat="1" applyFont="1" applyBorder="1" applyAlignment="1">
      <alignment horizontal="right" vertical="center" wrapText="1"/>
    </xf>
    <xf numFmtId="3" fontId="11" fillId="0" borderId="27" xfId="0" applyNumberFormat="1" applyFont="1" applyBorder="1" applyAlignment="1">
      <alignment horizontal="right" vertical="center" wrapText="1"/>
    </xf>
    <xf numFmtId="3" fontId="11" fillId="0" borderId="47" xfId="0" applyNumberFormat="1" applyFont="1" applyBorder="1" applyAlignment="1">
      <alignment horizontal="right" vertical="center" wrapText="1"/>
    </xf>
    <xf numFmtId="3" fontId="35" fillId="0" borderId="12" xfId="1" applyNumberFormat="1" applyFont="1" applyBorder="1" applyAlignment="1">
      <alignment horizontal="right" vertical="center" wrapText="1"/>
    </xf>
    <xf numFmtId="3" fontId="19" fillId="0" borderId="55" xfId="1" applyNumberFormat="1" applyFont="1" applyBorder="1" applyAlignment="1">
      <alignment horizontal="right" vertical="center" wrapText="1"/>
    </xf>
    <xf numFmtId="3" fontId="19" fillId="0" borderId="57" xfId="1" applyNumberFormat="1" applyFont="1" applyBorder="1" applyAlignment="1">
      <alignment horizontal="right" vertical="center" wrapText="1"/>
    </xf>
    <xf numFmtId="3" fontId="19" fillId="0" borderId="55" xfId="0" applyNumberFormat="1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3" fontId="19" fillId="0" borderId="18" xfId="0" applyNumberFormat="1" applyFont="1" applyBorder="1" applyAlignment="1">
      <alignment horizontal="right" vertical="center" wrapText="1"/>
    </xf>
    <xf numFmtId="3" fontId="21" fillId="0" borderId="25" xfId="1" applyNumberFormat="1" applyFont="1" applyBorder="1" applyAlignment="1">
      <alignment horizontal="right" vertical="center" wrapText="1"/>
    </xf>
    <xf numFmtId="3" fontId="20" fillId="0" borderId="58" xfId="1" applyNumberFormat="1" applyFont="1" applyBorder="1" applyAlignment="1">
      <alignment horizontal="right" vertical="center" wrapText="1"/>
    </xf>
    <xf numFmtId="3" fontId="20" fillId="0" borderId="75" xfId="1" applyNumberFormat="1" applyFont="1" applyBorder="1" applyAlignment="1">
      <alignment horizontal="right" vertical="center" wrapText="1"/>
    </xf>
    <xf numFmtId="3" fontId="20" fillId="0" borderId="58" xfId="0" applyNumberFormat="1" applyFont="1" applyBorder="1" applyAlignment="1">
      <alignment horizontal="right" vertical="center" wrapText="1"/>
    </xf>
    <xf numFmtId="3" fontId="20" fillId="0" borderId="27" xfId="0" applyNumberFormat="1" applyFont="1" applyBorder="1" applyAlignment="1">
      <alignment horizontal="right" vertical="center" wrapText="1"/>
    </xf>
    <xf numFmtId="3" fontId="20" fillId="0" borderId="23" xfId="0" applyNumberFormat="1" applyFont="1" applyBorder="1" applyAlignment="1">
      <alignment horizontal="right" vertical="center" wrapText="1"/>
    </xf>
    <xf numFmtId="3" fontId="35" fillId="0" borderId="25" xfId="1" applyNumberFormat="1" applyFont="1" applyBorder="1" applyAlignment="1">
      <alignment horizontal="right" vertical="center" wrapText="1"/>
    </xf>
    <xf numFmtId="3" fontId="19" fillId="0" borderId="58" xfId="1" applyNumberFormat="1" applyFont="1" applyBorder="1" applyAlignment="1">
      <alignment horizontal="right" vertical="center" wrapText="1"/>
    </xf>
    <xf numFmtId="3" fontId="19" fillId="0" borderId="75" xfId="1" applyNumberFormat="1" applyFont="1" applyBorder="1" applyAlignment="1">
      <alignment horizontal="right" vertical="center" wrapText="1"/>
    </xf>
    <xf numFmtId="3" fontId="19" fillId="0" borderId="58" xfId="0" applyNumberFormat="1" applyFont="1" applyBorder="1" applyAlignment="1">
      <alignment horizontal="right" vertical="center" wrapText="1"/>
    </xf>
    <xf numFmtId="3" fontId="19" fillId="0" borderId="51" xfId="0" applyNumberFormat="1" applyFont="1" applyBorder="1" applyAlignment="1">
      <alignment horizontal="right" vertical="center" wrapText="1"/>
    </xf>
    <xf numFmtId="3" fontId="19" fillId="0" borderId="23" xfId="0" applyNumberFormat="1" applyFont="1" applyBorder="1" applyAlignment="1">
      <alignment horizontal="right" vertical="center" wrapText="1"/>
    </xf>
    <xf numFmtId="3" fontId="16" fillId="0" borderId="15" xfId="1" applyNumberFormat="1" applyFont="1" applyBorder="1" applyAlignment="1">
      <alignment horizontal="right" vertical="center" wrapText="1"/>
    </xf>
    <xf numFmtId="3" fontId="15" fillId="0" borderId="60" xfId="1" applyNumberFormat="1" applyFont="1" applyBorder="1" applyAlignment="1">
      <alignment horizontal="right" vertical="center" wrapText="1"/>
    </xf>
    <xf numFmtId="3" fontId="15" fillId="0" borderId="17" xfId="1" applyNumberFormat="1" applyFont="1" applyBorder="1" applyAlignment="1">
      <alignment horizontal="right" vertical="center" wrapText="1"/>
    </xf>
    <xf numFmtId="3" fontId="15" fillId="0" borderId="60" xfId="0" applyNumberFormat="1" applyFont="1" applyBorder="1" applyAlignment="1">
      <alignment horizontal="right" vertical="center" wrapText="1"/>
    </xf>
    <xf numFmtId="3" fontId="15" fillId="0" borderId="19" xfId="0" applyNumberFormat="1" applyFont="1" applyBorder="1" applyAlignment="1">
      <alignment horizontal="right" vertical="center" wrapText="1"/>
    </xf>
    <xf numFmtId="3" fontId="15" fillId="0" borderId="14" xfId="0" applyNumberFormat="1" applyFont="1" applyBorder="1" applyAlignment="1">
      <alignment horizontal="right" vertical="center" wrapText="1"/>
    </xf>
    <xf numFmtId="3" fontId="20" fillId="0" borderId="2" xfId="0" applyNumberFormat="1" applyFont="1" applyBorder="1" applyAlignment="1">
      <alignment horizontal="right" vertical="center" wrapText="1"/>
    </xf>
    <xf numFmtId="3" fontId="21" fillId="0" borderId="30" xfId="1" applyNumberFormat="1" applyFont="1" applyBorder="1" applyAlignment="1">
      <alignment horizontal="right" vertical="center" wrapText="1"/>
    </xf>
    <xf numFmtId="3" fontId="20" fillId="0" borderId="68" xfId="1" applyNumberFormat="1" applyFont="1" applyBorder="1" applyAlignment="1">
      <alignment horizontal="right" vertical="center" wrapText="1"/>
    </xf>
    <xf numFmtId="3" fontId="20" fillId="0" borderId="52" xfId="1" applyNumberFormat="1" applyFont="1" applyBorder="1" applyAlignment="1">
      <alignment horizontal="right" vertical="center" wrapText="1"/>
    </xf>
    <xf numFmtId="3" fontId="20" fillId="0" borderId="68" xfId="0" applyNumberFormat="1" applyFont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3" fontId="20" fillId="0" borderId="14" xfId="0" applyNumberFormat="1" applyFont="1" applyBorder="1" applyAlignment="1">
      <alignment horizontal="right" vertical="center" wrapText="1"/>
    </xf>
    <xf numFmtId="3" fontId="16" fillId="0" borderId="26" xfId="1" applyNumberFormat="1" applyFont="1" applyBorder="1" applyAlignment="1">
      <alignment horizontal="right" vertical="center" wrapText="1"/>
    </xf>
    <xf numFmtId="3" fontId="15" fillId="0" borderId="47" xfId="1" applyNumberFormat="1" applyFont="1" applyBorder="1" applyAlignment="1">
      <alignment horizontal="right" vertical="center" wrapText="1"/>
    </xf>
    <xf numFmtId="3" fontId="15" fillId="0" borderId="41" xfId="1" applyNumberFormat="1" applyFont="1" applyBorder="1" applyAlignment="1">
      <alignment horizontal="right" vertical="center" wrapText="1"/>
    </xf>
    <xf numFmtId="3" fontId="15" fillId="0" borderId="47" xfId="0" applyNumberFormat="1" applyFont="1" applyBorder="1" applyAlignment="1">
      <alignment horizontal="right" vertical="center" wrapText="1"/>
    </xf>
    <xf numFmtId="3" fontId="15" fillId="0" borderId="37" xfId="0" applyNumberFormat="1" applyFont="1" applyBorder="1" applyAlignment="1">
      <alignment horizontal="right" vertical="center" wrapText="1"/>
    </xf>
    <xf numFmtId="3" fontId="15" fillId="0" borderId="26" xfId="0" applyNumberFormat="1" applyFont="1" applyBorder="1" applyAlignment="1">
      <alignment horizontal="right" vertical="center" wrapText="1"/>
    </xf>
    <xf numFmtId="3" fontId="15" fillId="0" borderId="42" xfId="0" applyNumberFormat="1" applyFont="1" applyBorder="1" applyAlignment="1">
      <alignment horizontal="right" vertical="center" wrapText="1"/>
    </xf>
    <xf numFmtId="3" fontId="35" fillId="0" borderId="26" xfId="1" applyNumberFormat="1" applyFont="1" applyBorder="1" applyAlignment="1">
      <alignment horizontal="right" vertical="center" wrapText="1"/>
    </xf>
    <xf numFmtId="3" fontId="19" fillId="0" borderId="47" xfId="1" applyNumberFormat="1" applyFont="1" applyBorder="1" applyAlignment="1">
      <alignment horizontal="right" vertical="center" wrapText="1"/>
    </xf>
    <xf numFmtId="3" fontId="19" fillId="0" borderId="41" xfId="1" applyNumberFormat="1" applyFont="1" applyBorder="1" applyAlignment="1">
      <alignment horizontal="right" vertical="center" wrapText="1"/>
    </xf>
    <xf numFmtId="3" fontId="19" fillId="0" borderId="47" xfId="0" applyNumberFormat="1" applyFont="1" applyBorder="1" applyAlignment="1">
      <alignment horizontal="right" vertical="center" wrapText="1"/>
    </xf>
    <xf numFmtId="3" fontId="19" fillId="0" borderId="37" xfId="0" applyNumberFormat="1" applyFont="1" applyBorder="1" applyAlignment="1">
      <alignment horizontal="right" vertical="center" wrapText="1"/>
    </xf>
    <xf numFmtId="3" fontId="19" fillId="0" borderId="26" xfId="0" applyNumberFormat="1" applyFont="1" applyBorder="1" applyAlignment="1">
      <alignment horizontal="right" vertical="center" wrapText="1"/>
    </xf>
    <xf numFmtId="3" fontId="16" fillId="0" borderId="23" xfId="1" applyNumberFormat="1" applyFont="1" applyBorder="1" applyAlignment="1">
      <alignment horizontal="right" vertical="center" wrapText="1"/>
    </xf>
    <xf numFmtId="3" fontId="15" fillId="0" borderId="58" xfId="1" applyNumberFormat="1" applyFont="1" applyBorder="1" applyAlignment="1">
      <alignment horizontal="right" vertical="center" wrapText="1"/>
    </xf>
    <xf numFmtId="3" fontId="15" fillId="0" borderId="75" xfId="1" applyNumberFormat="1" applyFont="1" applyBorder="1" applyAlignment="1">
      <alignment horizontal="right" vertical="center" wrapText="1"/>
    </xf>
    <xf numFmtId="3" fontId="15" fillId="0" borderId="58" xfId="0" applyNumberFormat="1" applyFont="1" applyBorder="1" applyAlignment="1">
      <alignment horizontal="right" vertical="center" wrapText="1"/>
    </xf>
    <xf numFmtId="3" fontId="15" fillId="0" borderId="51" xfId="0" applyNumberFormat="1" applyFont="1" applyBorder="1" applyAlignment="1">
      <alignment horizontal="right" vertical="center" wrapText="1"/>
    </xf>
    <xf numFmtId="3" fontId="15" fillId="0" borderId="23" xfId="0" applyNumberFormat="1" applyFont="1" applyBorder="1" applyAlignment="1">
      <alignment horizontal="right" vertical="center" wrapText="1"/>
    </xf>
    <xf numFmtId="3" fontId="16" fillId="0" borderId="13" xfId="1" applyNumberFormat="1" applyFont="1" applyBorder="1" applyAlignment="1">
      <alignment horizontal="right" vertical="center" wrapText="1"/>
    </xf>
    <xf numFmtId="3" fontId="15" fillId="0" borderId="61" xfId="0" applyNumberFormat="1" applyFont="1" applyBorder="1" applyAlignment="1">
      <alignment horizontal="right" vertical="center" wrapText="1"/>
    </xf>
    <xf numFmtId="3" fontId="15" fillId="0" borderId="13" xfId="0" applyNumberFormat="1" applyFont="1" applyBorder="1" applyAlignment="1">
      <alignment horizontal="right" vertical="center" wrapText="1"/>
    </xf>
    <xf numFmtId="3" fontId="21" fillId="0" borderId="23" xfId="1" applyNumberFormat="1" applyFont="1" applyBorder="1" applyAlignment="1">
      <alignment horizontal="right" vertical="center" wrapText="1"/>
    </xf>
    <xf numFmtId="3" fontId="20" fillId="0" borderId="51" xfId="0" applyNumberFormat="1" applyFont="1" applyBorder="1" applyAlignment="1">
      <alignment horizontal="right" vertical="center" wrapText="1"/>
    </xf>
    <xf numFmtId="3" fontId="21" fillId="0" borderId="13" xfId="1" applyNumberFormat="1" applyFont="1" applyBorder="1" applyAlignment="1">
      <alignment horizontal="right" vertical="center" wrapText="1"/>
    </xf>
    <xf numFmtId="3" fontId="20" fillId="0" borderId="60" xfId="1" applyNumberFormat="1" applyFont="1" applyBorder="1" applyAlignment="1">
      <alignment horizontal="right" vertical="center" wrapText="1"/>
    </xf>
    <xf numFmtId="3" fontId="20" fillId="0" borderId="17" xfId="1" applyNumberFormat="1" applyFont="1" applyBorder="1" applyAlignment="1">
      <alignment horizontal="right" vertical="center" wrapText="1"/>
    </xf>
    <xf numFmtId="3" fontId="20" fillId="0" borderId="60" xfId="0" applyNumberFormat="1" applyFont="1" applyBorder="1" applyAlignment="1">
      <alignment horizontal="right" vertical="center" wrapText="1"/>
    </xf>
    <xf numFmtId="3" fontId="20" fillId="0" borderId="61" xfId="0" applyNumberFormat="1" applyFont="1" applyBorder="1" applyAlignment="1">
      <alignment horizontal="right" vertical="center" wrapText="1"/>
    </xf>
    <xf numFmtId="3" fontId="20" fillId="0" borderId="13" xfId="0" applyNumberFormat="1" applyFont="1" applyBorder="1" applyAlignment="1">
      <alignment horizontal="right" vertical="center" wrapText="1"/>
    </xf>
    <xf numFmtId="3" fontId="33" fillId="0" borderId="23" xfId="1" applyNumberFormat="1" applyFont="1" applyBorder="1" applyAlignment="1">
      <alignment horizontal="right" vertical="center" wrapText="1"/>
    </xf>
    <xf numFmtId="3" fontId="25" fillId="0" borderId="58" xfId="1" applyNumberFormat="1" applyFont="1" applyBorder="1" applyAlignment="1">
      <alignment horizontal="right" vertical="center" wrapText="1"/>
    </xf>
    <xf numFmtId="3" fontId="25" fillId="0" borderId="75" xfId="1" applyNumberFormat="1" applyFont="1" applyBorder="1" applyAlignment="1">
      <alignment horizontal="right" vertical="center" wrapText="1"/>
    </xf>
    <xf numFmtId="3" fontId="25" fillId="0" borderId="58" xfId="0" applyNumberFormat="1" applyFont="1" applyBorder="1" applyAlignment="1">
      <alignment horizontal="right" vertical="center" wrapText="1"/>
    </xf>
    <xf numFmtId="3" fontId="25" fillId="0" borderId="51" xfId="0" applyNumberFormat="1" applyFont="1" applyBorder="1" applyAlignment="1">
      <alignment horizontal="right" vertical="center" wrapText="1"/>
    </xf>
    <xf numFmtId="3" fontId="25" fillId="0" borderId="23" xfId="0" applyNumberFormat="1" applyFont="1" applyBorder="1" applyAlignment="1">
      <alignment horizontal="right" vertical="center" wrapText="1"/>
    </xf>
    <xf numFmtId="3" fontId="29" fillId="0" borderId="14" xfId="0" applyNumberFormat="1" applyFont="1" applyBorder="1" applyAlignment="1">
      <alignment horizontal="center"/>
    </xf>
    <xf numFmtId="165" fontId="29" fillId="0" borderId="19" xfId="0" applyNumberFormat="1" applyFont="1" applyBorder="1" applyAlignment="1">
      <alignment horizontal="center"/>
    </xf>
    <xf numFmtId="165" fontId="11" fillId="0" borderId="17" xfId="1" applyNumberFormat="1" applyBorder="1" applyAlignment="1">
      <alignment horizontal="center" vertical="center" wrapText="1"/>
    </xf>
    <xf numFmtId="3" fontId="17" fillId="0" borderId="30" xfId="1" applyNumberFormat="1" applyFont="1" applyBorder="1" applyAlignment="1">
      <alignment vertical="center" wrapText="1"/>
    </xf>
    <xf numFmtId="3" fontId="11" fillId="0" borderId="41" xfId="0" applyNumberFormat="1" applyFont="1" applyBorder="1" applyAlignment="1">
      <alignment horizontal="right" vertical="center" wrapText="1"/>
    </xf>
    <xf numFmtId="3" fontId="11" fillId="0" borderId="2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 wrapText="1"/>
    </xf>
    <xf numFmtId="3" fontId="19" fillId="0" borderId="41" xfId="0" applyNumberFormat="1" applyFont="1" applyBorder="1" applyAlignment="1">
      <alignment horizontal="right" vertical="center" wrapText="1"/>
    </xf>
    <xf numFmtId="3" fontId="19" fillId="0" borderId="36" xfId="0" applyNumberFormat="1" applyFont="1" applyBorder="1" applyAlignment="1">
      <alignment horizontal="right" vertical="center" wrapText="1"/>
    </xf>
    <xf numFmtId="3" fontId="19" fillId="0" borderId="42" xfId="0" applyNumberFormat="1" applyFont="1" applyBorder="1" applyAlignment="1">
      <alignment horizontal="right" vertical="center" wrapText="1"/>
    </xf>
    <xf numFmtId="3" fontId="19" fillId="0" borderId="26" xfId="0" applyNumberFormat="1" applyFont="1" applyBorder="1" applyAlignment="1">
      <alignment horizontal="right" vertical="center"/>
    </xf>
    <xf numFmtId="3" fontId="19" fillId="0" borderId="31" xfId="0" applyNumberFormat="1" applyFont="1" applyBorder="1" applyAlignment="1">
      <alignment horizontal="right" vertical="center" wrapText="1"/>
    </xf>
    <xf numFmtId="3" fontId="19" fillId="0" borderId="23" xfId="0" applyNumberFormat="1" applyFont="1" applyBorder="1" applyAlignment="1">
      <alignment horizontal="right" vertical="center"/>
    </xf>
    <xf numFmtId="3" fontId="11" fillId="0" borderId="52" xfId="0" applyNumberFormat="1" applyFont="1" applyBorder="1" applyAlignment="1">
      <alignment horizontal="center" vertical="center" wrapText="1"/>
    </xf>
    <xf numFmtId="3" fontId="35" fillId="0" borderId="34" xfId="1" applyNumberFormat="1" applyFont="1" applyBorder="1" applyAlignment="1">
      <alignment vertical="center"/>
    </xf>
    <xf numFmtId="3" fontId="19" fillId="0" borderId="49" xfId="1" applyNumberFormat="1" applyFont="1" applyBorder="1" applyAlignment="1">
      <alignment vertical="center"/>
    </xf>
    <xf numFmtId="3" fontId="19" fillId="0" borderId="76" xfId="1" applyNumberFormat="1" applyFont="1" applyBorder="1" applyAlignment="1">
      <alignment vertical="center"/>
    </xf>
    <xf numFmtId="3" fontId="19" fillId="0" borderId="70" xfId="0" applyNumberFormat="1" applyFont="1" applyBorder="1" applyAlignment="1">
      <alignment vertical="center"/>
    </xf>
    <xf numFmtId="3" fontId="19" fillId="0" borderId="59" xfId="0" applyNumberFormat="1" applyFont="1" applyBorder="1" applyAlignment="1">
      <alignment vertical="center"/>
    </xf>
    <xf numFmtId="3" fontId="19" fillId="0" borderId="33" xfId="0" applyNumberFormat="1" applyFont="1" applyBorder="1" applyAlignment="1">
      <alignment horizontal="right" vertical="center"/>
    </xf>
    <xf numFmtId="3" fontId="13" fillId="0" borderId="31" xfId="1" applyNumberFormat="1" applyFont="1" applyBorder="1" applyAlignment="1">
      <alignment vertical="center"/>
    </xf>
    <xf numFmtId="3" fontId="11" fillId="0" borderId="47" xfId="1" applyNumberFormat="1" applyBorder="1" applyAlignment="1">
      <alignment vertical="center"/>
    </xf>
    <xf numFmtId="3" fontId="11" fillId="0" borderId="41" xfId="1" applyNumberFormat="1" applyBorder="1" applyAlignment="1">
      <alignment vertical="center"/>
    </xf>
    <xf numFmtId="3" fontId="11" fillId="0" borderId="36" xfId="0" applyNumberFormat="1" applyFont="1" applyBorder="1" applyAlignment="1">
      <alignment vertical="center"/>
    </xf>
    <xf numFmtId="3" fontId="11" fillId="0" borderId="42" xfId="0" applyNumberFormat="1" applyFont="1" applyBorder="1" applyAlignment="1">
      <alignment vertical="center"/>
    </xf>
    <xf numFmtId="3" fontId="35" fillId="0" borderId="15" xfId="1" applyNumberFormat="1" applyFont="1" applyBorder="1" applyAlignment="1">
      <alignment vertical="center"/>
    </xf>
    <xf numFmtId="3" fontId="19" fillId="0" borderId="60" xfId="1" applyNumberFormat="1" applyFont="1" applyBorder="1" applyAlignment="1">
      <alignment vertical="center"/>
    </xf>
    <xf numFmtId="3" fontId="19" fillId="0" borderId="17" xfId="1" applyNumberFormat="1" applyFont="1" applyBorder="1" applyAlignment="1">
      <alignment vertical="center"/>
    </xf>
    <xf numFmtId="3" fontId="19" fillId="0" borderId="54" xfId="0" applyNumberFormat="1" applyFont="1" applyBorder="1" applyAlignment="1">
      <alignment vertical="center"/>
    </xf>
    <xf numFmtId="3" fontId="19" fillId="0" borderId="61" xfId="0" applyNumberFormat="1" applyFont="1" applyBorder="1" applyAlignment="1">
      <alignment vertical="center"/>
    </xf>
    <xf numFmtId="3" fontId="19" fillId="0" borderId="13" xfId="0" applyNumberFormat="1" applyFont="1" applyBorder="1" applyAlignment="1">
      <alignment horizontal="right" vertical="center"/>
    </xf>
    <xf numFmtId="3" fontId="18" fillId="0" borderId="34" xfId="1" applyNumberFormat="1" applyFont="1" applyBorder="1" applyAlignment="1">
      <alignment vertical="center"/>
    </xf>
    <xf numFmtId="3" fontId="17" fillId="0" borderId="49" xfId="1" applyNumberFormat="1" applyFont="1" applyBorder="1" applyAlignment="1">
      <alignment vertical="center"/>
    </xf>
    <xf numFmtId="3" fontId="17" fillId="0" borderId="76" xfId="1" applyNumberFormat="1" applyFont="1" applyBorder="1" applyAlignment="1">
      <alignment vertical="center"/>
    </xf>
    <xf numFmtId="3" fontId="17" fillId="0" borderId="70" xfId="0" applyNumberFormat="1" applyFont="1" applyBorder="1" applyAlignment="1">
      <alignment vertical="center"/>
    </xf>
    <xf numFmtId="3" fontId="17" fillId="0" borderId="59" xfId="0" applyNumberFormat="1" applyFont="1" applyBorder="1" applyAlignment="1">
      <alignment vertical="center"/>
    </xf>
    <xf numFmtId="3" fontId="17" fillId="0" borderId="33" xfId="0" applyNumberFormat="1" applyFont="1" applyBorder="1" applyAlignment="1">
      <alignment horizontal="right" vertical="center"/>
    </xf>
    <xf numFmtId="3" fontId="16" fillId="0" borderId="34" xfId="1" applyNumberFormat="1" applyFont="1" applyBorder="1" applyAlignment="1">
      <alignment vertical="center"/>
    </xf>
    <xf numFmtId="3" fontId="15" fillId="0" borderId="49" xfId="1" applyNumberFormat="1" applyFont="1" applyBorder="1" applyAlignment="1">
      <alignment vertical="center"/>
    </xf>
    <xf numFmtId="3" fontId="15" fillId="0" borderId="76" xfId="1" applyNumberFormat="1" applyFont="1" applyBorder="1" applyAlignment="1">
      <alignment vertical="center"/>
    </xf>
    <xf numFmtId="3" fontId="15" fillId="0" borderId="70" xfId="0" applyNumberFormat="1" applyFont="1" applyBorder="1" applyAlignment="1">
      <alignment vertical="center"/>
    </xf>
    <xf numFmtId="3" fontId="15" fillId="0" borderId="59" xfId="0" applyNumberFormat="1" applyFont="1" applyBorder="1" applyAlignment="1">
      <alignment vertical="center"/>
    </xf>
    <xf numFmtId="3" fontId="15" fillId="0" borderId="33" xfId="0" applyNumberFormat="1" applyFont="1" applyBorder="1" applyAlignment="1">
      <alignment horizontal="right" vertical="center"/>
    </xf>
    <xf numFmtId="3" fontId="35" fillId="0" borderId="28" xfId="1" applyNumberFormat="1" applyFont="1" applyBorder="1" applyAlignment="1">
      <alignment vertical="center"/>
    </xf>
    <xf numFmtId="3" fontId="19" fillId="0" borderId="64" xfId="1" applyNumberFormat="1" applyFont="1" applyBorder="1" applyAlignment="1">
      <alignment vertical="center"/>
    </xf>
    <xf numFmtId="3" fontId="19" fillId="0" borderId="66" xfId="1" applyNumberFormat="1" applyFont="1" applyBorder="1" applyAlignment="1">
      <alignment vertical="center"/>
    </xf>
    <xf numFmtId="3" fontId="19" fillId="0" borderId="71" xfId="0" applyNumberFormat="1" applyFont="1" applyBorder="1" applyAlignment="1">
      <alignment vertical="center"/>
    </xf>
    <xf numFmtId="3" fontId="19" fillId="0" borderId="73" xfId="0" applyNumberFormat="1" applyFont="1" applyBorder="1" applyAlignment="1">
      <alignment vertical="center"/>
    </xf>
    <xf numFmtId="3" fontId="19" fillId="0" borderId="22" xfId="0" applyNumberFormat="1" applyFont="1" applyBorder="1" applyAlignment="1">
      <alignment horizontal="right" vertical="center"/>
    </xf>
    <xf numFmtId="3" fontId="16" fillId="0" borderId="28" xfId="1" applyNumberFormat="1" applyFont="1" applyBorder="1" applyAlignment="1">
      <alignment vertical="center"/>
    </xf>
    <xf numFmtId="3" fontId="15" fillId="0" borderId="64" xfId="1" applyNumberFormat="1" applyFont="1" applyBorder="1" applyAlignment="1">
      <alignment vertical="center"/>
    </xf>
    <xf numFmtId="3" fontId="15" fillId="0" borderId="66" xfId="1" applyNumberFormat="1" applyFont="1" applyBorder="1" applyAlignment="1">
      <alignment vertical="center"/>
    </xf>
    <xf numFmtId="3" fontId="15" fillId="0" borderId="71" xfId="0" applyNumberFormat="1" applyFont="1" applyBorder="1" applyAlignment="1">
      <alignment vertical="center"/>
    </xf>
    <xf numFmtId="3" fontId="15" fillId="0" borderId="73" xfId="0" applyNumberFormat="1" applyFont="1" applyBorder="1" applyAlignment="1">
      <alignment vertical="center"/>
    </xf>
    <xf numFmtId="3" fontId="15" fillId="0" borderId="22" xfId="0" applyNumberFormat="1" applyFont="1" applyBorder="1" applyAlignment="1">
      <alignment horizontal="right" vertical="center"/>
    </xf>
    <xf numFmtId="3" fontId="35" fillId="0" borderId="31" xfId="1" applyNumberFormat="1" applyFont="1" applyBorder="1" applyAlignment="1">
      <alignment vertical="center"/>
    </xf>
    <xf numFmtId="3" fontId="19" fillId="0" borderId="47" xfId="1" applyNumberFormat="1" applyFont="1" applyBorder="1" applyAlignment="1">
      <alignment vertical="center"/>
    </xf>
    <xf numFmtId="3" fontId="19" fillId="0" borderId="41" xfId="1" applyNumberFormat="1" applyFont="1" applyBorder="1" applyAlignment="1">
      <alignment vertical="center"/>
    </xf>
    <xf numFmtId="3" fontId="19" fillId="0" borderId="36" xfId="0" applyNumberFormat="1" applyFont="1" applyBorder="1" applyAlignment="1">
      <alignment vertical="center"/>
    </xf>
    <xf numFmtId="3" fontId="19" fillId="0" borderId="42" xfId="0" applyNumberFormat="1" applyFont="1" applyBorder="1" applyAlignment="1">
      <alignment vertical="center"/>
    </xf>
    <xf numFmtId="3" fontId="35" fillId="0" borderId="25" xfId="1" applyNumberFormat="1" applyFont="1" applyBorder="1" applyAlignment="1">
      <alignment vertical="center"/>
    </xf>
    <xf numFmtId="3" fontId="19" fillId="0" borderId="58" xfId="1" applyNumberFormat="1" applyFont="1" applyBorder="1" applyAlignment="1">
      <alignment vertical="center"/>
    </xf>
    <xf numFmtId="3" fontId="19" fillId="0" borderId="75" xfId="1" applyNumberFormat="1" applyFont="1" applyBorder="1" applyAlignment="1">
      <alignment vertical="center"/>
    </xf>
    <xf numFmtId="3" fontId="19" fillId="0" borderId="44" xfId="0" applyNumberFormat="1" applyFont="1" applyBorder="1" applyAlignment="1">
      <alignment vertical="center"/>
    </xf>
    <xf numFmtId="3" fontId="19" fillId="0" borderId="51" xfId="0" applyNumberFormat="1" applyFont="1" applyBorder="1" applyAlignment="1">
      <alignment vertical="center"/>
    </xf>
    <xf numFmtId="3" fontId="13" fillId="0" borderId="32" xfId="0" applyNumberFormat="1" applyFont="1" applyBorder="1" applyAlignment="1">
      <alignment horizontal="right" vertical="center"/>
    </xf>
    <xf numFmtId="3" fontId="13" fillId="0" borderId="23" xfId="1" applyNumberFormat="1" applyFont="1" applyBorder="1" applyAlignment="1">
      <alignment vertical="center" wrapText="1"/>
    </xf>
    <xf numFmtId="3" fontId="11" fillId="0" borderId="16" xfId="1" applyNumberFormat="1" applyBorder="1" applyAlignment="1">
      <alignment horizontal="center" vertical="center" wrapText="1"/>
    </xf>
    <xf numFmtId="3" fontId="21" fillId="0" borderId="31" xfId="1" applyNumberFormat="1" applyFont="1" applyBorder="1" applyAlignment="1">
      <alignment vertical="center" wrapText="1"/>
    </xf>
    <xf numFmtId="3" fontId="20" fillId="0" borderId="47" xfId="1" applyNumberFormat="1" applyFont="1" applyBorder="1" applyAlignment="1">
      <alignment vertical="center" wrapText="1"/>
    </xf>
    <xf numFmtId="3" fontId="20" fillId="0" borderId="41" xfId="1" applyNumberFormat="1" applyFont="1" applyBorder="1" applyAlignment="1">
      <alignment vertical="center" wrapText="1"/>
    </xf>
    <xf numFmtId="3" fontId="20" fillId="0" borderId="36" xfId="0" applyNumberFormat="1" applyFont="1" applyBorder="1" applyAlignment="1">
      <alignment vertical="center" wrapText="1"/>
    </xf>
    <xf numFmtId="3" fontId="20" fillId="0" borderId="37" xfId="0" applyNumberFormat="1" applyFont="1" applyBorder="1" applyAlignment="1">
      <alignment vertical="center" wrapText="1"/>
    </xf>
    <xf numFmtId="3" fontId="20" fillId="0" borderId="26" xfId="0" applyNumberFormat="1" applyFont="1" applyBorder="1" applyAlignment="1">
      <alignment horizontal="right" vertical="center" wrapText="1"/>
    </xf>
    <xf numFmtId="3" fontId="17" fillId="0" borderId="68" xfId="0" applyNumberFormat="1" applyFont="1" applyBorder="1" applyAlignment="1">
      <alignment horizontal="right" vertical="center"/>
    </xf>
    <xf numFmtId="3" fontId="15" fillId="0" borderId="25" xfId="0" applyNumberFormat="1" applyFont="1" applyBorder="1" applyAlignment="1">
      <alignment horizontal="right" vertical="center"/>
    </xf>
    <xf numFmtId="3" fontId="15" fillId="0" borderId="58" xfId="0" applyNumberFormat="1" applyFont="1" applyBorder="1" applyAlignment="1">
      <alignment horizontal="right" vertical="center"/>
    </xf>
    <xf numFmtId="3" fontId="15" fillId="0" borderId="75" xfId="0" applyNumberFormat="1" applyFont="1" applyBorder="1" applyAlignment="1">
      <alignment horizontal="right" vertical="center"/>
    </xf>
    <xf numFmtId="3" fontId="15" fillId="0" borderId="44" xfId="0" applyNumberFormat="1" applyFont="1" applyBorder="1" applyAlignment="1">
      <alignment horizontal="right" vertical="center" wrapText="1"/>
    </xf>
    <xf numFmtId="3" fontId="19" fillId="0" borderId="25" xfId="0" applyNumberFormat="1" applyFont="1" applyBorder="1" applyAlignment="1">
      <alignment horizontal="right" vertical="center"/>
    </xf>
    <xf numFmtId="3" fontId="19" fillId="0" borderId="58" xfId="0" applyNumberFormat="1" applyFont="1" applyBorder="1" applyAlignment="1">
      <alignment horizontal="right" vertical="center"/>
    </xf>
    <xf numFmtId="3" fontId="19" fillId="0" borderId="75" xfId="0" applyNumberFormat="1" applyFont="1" applyBorder="1" applyAlignment="1">
      <alignment horizontal="right" vertical="center"/>
    </xf>
    <xf numFmtId="3" fontId="20" fillId="0" borderId="36" xfId="0" applyNumberFormat="1" applyFont="1" applyBorder="1" applyAlignment="1">
      <alignment horizontal="right" vertical="center" wrapText="1"/>
    </xf>
    <xf numFmtId="3" fontId="11" fillId="0" borderId="47" xfId="0" applyNumberFormat="1" applyFont="1" applyBorder="1" applyAlignment="1">
      <alignment horizontal="right" vertical="center"/>
    </xf>
    <xf numFmtId="3" fontId="11" fillId="0" borderId="36" xfId="0" applyNumberFormat="1" applyFont="1" applyBorder="1" applyAlignment="1">
      <alignment horizontal="right" vertical="center"/>
    </xf>
    <xf numFmtId="3" fontId="19" fillId="0" borderId="47" xfId="0" applyNumberFormat="1" applyFont="1" applyBorder="1" applyAlignment="1">
      <alignment horizontal="right" vertical="center"/>
    </xf>
    <xf numFmtId="3" fontId="19" fillId="0" borderId="41" xfId="0" applyNumberFormat="1" applyFont="1" applyBorder="1" applyAlignment="1">
      <alignment horizontal="right" vertical="center"/>
    </xf>
    <xf numFmtId="3" fontId="19" fillId="0" borderId="36" xfId="0" applyNumberFormat="1" applyFont="1" applyBorder="1" applyAlignment="1">
      <alignment horizontal="right" vertical="center"/>
    </xf>
    <xf numFmtId="3" fontId="19" fillId="0" borderId="42" xfId="0" applyNumberFormat="1" applyFont="1" applyBorder="1" applyAlignment="1">
      <alignment horizontal="right" vertical="center"/>
    </xf>
    <xf numFmtId="3" fontId="20" fillId="0" borderId="42" xfId="0" applyNumberFormat="1" applyFont="1" applyBorder="1" applyAlignment="1">
      <alignment horizontal="right" vertical="center"/>
    </xf>
    <xf numFmtId="3" fontId="15" fillId="0" borderId="23" xfId="0" applyNumberFormat="1" applyFont="1" applyBorder="1" applyAlignment="1">
      <alignment horizontal="right" vertical="center"/>
    </xf>
    <xf numFmtId="3" fontId="15" fillId="0" borderId="44" xfId="0" applyNumberFormat="1" applyFont="1" applyBorder="1" applyAlignment="1">
      <alignment horizontal="right" vertical="center"/>
    </xf>
    <xf numFmtId="3" fontId="15" fillId="0" borderId="51" xfId="0" applyNumberFormat="1" applyFont="1" applyBorder="1" applyAlignment="1">
      <alignment horizontal="right" vertical="center"/>
    </xf>
    <xf numFmtId="3" fontId="17" fillId="0" borderId="36" xfId="0" applyNumberFormat="1" applyFont="1" applyBorder="1" applyAlignment="1">
      <alignment horizontal="right" vertical="center"/>
    </xf>
    <xf numFmtId="3" fontId="19" fillId="0" borderId="32" xfId="0" applyNumberFormat="1" applyFont="1" applyBorder="1" applyAlignment="1">
      <alignment horizontal="right" vertical="center"/>
    </xf>
    <xf numFmtId="3" fontId="19" fillId="0" borderId="37" xfId="0" applyNumberFormat="1" applyFont="1" applyBorder="1" applyAlignment="1">
      <alignment horizontal="right" vertical="center"/>
    </xf>
    <xf numFmtId="3" fontId="15" fillId="0" borderId="26" xfId="0" applyNumberFormat="1" applyFont="1" applyBorder="1" applyAlignment="1">
      <alignment horizontal="right" vertical="center"/>
    </xf>
    <xf numFmtId="3" fontId="15" fillId="0" borderId="47" xfId="0" applyNumberFormat="1" applyFont="1" applyBorder="1" applyAlignment="1">
      <alignment horizontal="right" vertical="center"/>
    </xf>
    <xf numFmtId="3" fontId="15" fillId="0" borderId="32" xfId="0" applyNumberFormat="1" applyFont="1" applyBorder="1" applyAlignment="1">
      <alignment horizontal="right" vertical="center"/>
    </xf>
    <xf numFmtId="3" fontId="15" fillId="0" borderId="36" xfId="0" applyNumberFormat="1" applyFont="1" applyBorder="1" applyAlignment="1">
      <alignment horizontal="right" vertical="center"/>
    </xf>
    <xf numFmtId="3" fontId="17" fillId="0" borderId="37" xfId="0" applyNumberFormat="1" applyFont="1" applyBorder="1" applyAlignment="1">
      <alignment horizontal="right" vertical="center"/>
    </xf>
    <xf numFmtId="3" fontId="11" fillId="0" borderId="37" xfId="0" applyNumberFormat="1" applyFont="1" applyBorder="1" applyAlignment="1">
      <alignment horizontal="right" vertical="center"/>
    </xf>
    <xf numFmtId="3" fontId="13" fillId="0" borderId="26" xfId="0" applyNumberFormat="1" applyFont="1" applyBorder="1" applyAlignment="1">
      <alignment horizontal="right" vertical="center" wrapText="1"/>
    </xf>
    <xf numFmtId="3" fontId="13" fillId="0" borderId="23" xfId="0" applyNumberFormat="1" applyFont="1" applyBorder="1" applyAlignment="1">
      <alignment horizontal="right" vertical="center" wrapText="1"/>
    </xf>
    <xf numFmtId="3" fontId="11" fillId="0" borderId="24" xfId="0" applyNumberFormat="1" applyFont="1" applyBorder="1" applyAlignment="1">
      <alignment horizontal="right" vertical="center" wrapText="1"/>
    </xf>
    <xf numFmtId="49" fontId="13" fillId="0" borderId="26" xfId="0" applyNumberFormat="1" applyFont="1" applyBorder="1" applyAlignment="1">
      <alignment horizontal="center" vertical="center" wrapText="1" shrinkToFit="1"/>
    </xf>
    <xf numFmtId="0" fontId="11" fillId="0" borderId="26" xfId="0" applyFont="1" applyBorder="1" applyAlignment="1">
      <alignment horizontal="center" vertical="center" wrapText="1"/>
    </xf>
    <xf numFmtId="0" fontId="11" fillId="0" borderId="32" xfId="1" applyBorder="1" applyAlignment="1">
      <alignment horizontal="center" vertical="center" wrapText="1"/>
    </xf>
    <xf numFmtId="0" fontId="11" fillId="0" borderId="26" xfId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 shrinkToFi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3" xfId="1" applyBorder="1" applyAlignment="1">
      <alignment horizontal="center" vertical="center" wrapText="1"/>
    </xf>
    <xf numFmtId="49" fontId="35" fillId="0" borderId="45" xfId="0" applyNumberFormat="1" applyFont="1" applyBorder="1" applyAlignment="1">
      <alignment horizontal="center" vertical="center" wrapText="1" shrinkToFit="1"/>
    </xf>
    <xf numFmtId="0" fontId="38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3" fontId="35" fillId="0" borderId="13" xfId="1" applyNumberFormat="1" applyFont="1" applyBorder="1" applyAlignment="1">
      <alignment horizontal="righ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3" xfId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 shrinkToFit="1"/>
    </xf>
    <xf numFmtId="0" fontId="12" fillId="0" borderId="1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3" fontId="11" fillId="0" borderId="13" xfId="1" applyNumberFormat="1" applyBorder="1" applyAlignment="1">
      <alignment horizontal="center" vertical="center" wrapText="1"/>
    </xf>
    <xf numFmtId="0" fontId="39" fillId="0" borderId="3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3" fontId="18" fillId="0" borderId="14" xfId="1" applyNumberFormat="1" applyFont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3" fontId="13" fillId="0" borderId="26" xfId="1" applyNumberFormat="1" applyFont="1" applyBorder="1" applyAlignment="1">
      <alignment vertical="center" wrapText="1"/>
    </xf>
    <xf numFmtId="49" fontId="35" fillId="0" borderId="6" xfId="0" applyNumberFormat="1" applyFont="1" applyBorder="1" applyAlignment="1">
      <alignment horizontal="center" vertical="center" wrapText="1" shrinkToFit="1"/>
    </xf>
    <xf numFmtId="2" fontId="38" fillId="0" borderId="18" xfId="0" applyNumberFormat="1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3" fontId="35" fillId="0" borderId="18" xfId="1" applyNumberFormat="1" applyFont="1" applyBorder="1" applyAlignment="1">
      <alignment vertical="center" wrapText="1"/>
    </xf>
    <xf numFmtId="49" fontId="21" fillId="0" borderId="24" xfId="0" applyNumberFormat="1" applyFont="1" applyBorder="1" applyAlignment="1">
      <alignment horizontal="center" vertical="center" wrapText="1" shrinkToFit="1"/>
    </xf>
    <xf numFmtId="2" fontId="46" fillId="0" borderId="23" xfId="0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3" fontId="21" fillId="0" borderId="23" xfId="1" applyNumberFormat="1" applyFont="1" applyBorder="1" applyAlignment="1">
      <alignment vertical="center" wrapText="1"/>
    </xf>
    <xf numFmtId="49" fontId="35" fillId="0" borderId="23" xfId="0" applyNumberFormat="1" applyFont="1" applyBorder="1" applyAlignment="1">
      <alignment horizontal="center" vertical="center" wrapText="1" shrinkToFit="1"/>
    </xf>
    <xf numFmtId="2" fontId="38" fillId="0" borderId="23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 wrapText="1"/>
    </xf>
    <xf numFmtId="3" fontId="35" fillId="0" borderId="23" xfId="1" applyNumberFormat="1" applyFont="1" applyBorder="1" applyAlignment="1">
      <alignment vertical="center" wrapText="1"/>
    </xf>
    <xf numFmtId="49" fontId="16" fillId="0" borderId="13" xfId="0" applyNumberFormat="1" applyFont="1" applyBorder="1" applyAlignment="1">
      <alignment horizontal="center" vertical="center" wrapText="1" shrinkToFit="1"/>
    </xf>
    <xf numFmtId="2" fontId="45" fillId="0" borderId="13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3" fontId="16" fillId="0" borderId="13" xfId="1" applyNumberFormat="1" applyFont="1" applyBorder="1" applyAlignment="1">
      <alignment vertical="center" wrapText="1"/>
    </xf>
    <xf numFmtId="49" fontId="21" fillId="0" borderId="23" xfId="0" applyNumberFormat="1" applyFont="1" applyBorder="1" applyAlignment="1">
      <alignment horizontal="center" vertical="center" wrapText="1" shrinkToFit="1"/>
    </xf>
    <xf numFmtId="2" fontId="14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 shrinkToFit="1"/>
    </xf>
    <xf numFmtId="2" fontId="46" fillId="0" borderId="13" xfId="0" applyNumberFormat="1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3" fontId="21" fillId="0" borderId="13" xfId="1" applyNumberFormat="1" applyFont="1" applyBorder="1" applyAlignment="1">
      <alignment vertical="center" wrapText="1"/>
    </xf>
    <xf numFmtId="2" fontId="14" fillId="0" borderId="23" xfId="0" applyNumberFormat="1" applyFont="1" applyBorder="1" applyAlignment="1">
      <alignment horizontal="center" vertical="center" wrapText="1"/>
    </xf>
    <xf numFmtId="0" fontId="11" fillId="0" borderId="27" xfId="1" applyBorder="1" applyAlignment="1">
      <alignment horizontal="center" vertical="center" wrapText="1"/>
    </xf>
    <xf numFmtId="49" fontId="16" fillId="0" borderId="26" xfId="0" applyNumberFormat="1" applyFont="1" applyBorder="1" applyAlignment="1">
      <alignment horizontal="center" vertical="center" wrapText="1" shrinkToFit="1"/>
    </xf>
    <xf numFmtId="2" fontId="45" fillId="0" borderId="26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7" xfId="1" applyFont="1" applyBorder="1" applyAlignment="1">
      <alignment horizontal="center" vertical="center" wrapText="1"/>
    </xf>
    <xf numFmtId="3" fontId="16" fillId="0" borderId="26" xfId="1" applyNumberFormat="1" applyFont="1" applyBorder="1" applyAlignment="1">
      <alignment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49" fontId="35" fillId="0" borderId="26" xfId="0" applyNumberFormat="1" applyFont="1" applyBorder="1" applyAlignment="1">
      <alignment horizontal="center" vertical="center" wrapText="1" shrinkToFit="1"/>
    </xf>
    <xf numFmtId="2" fontId="38" fillId="0" borderId="26" xfId="0" applyNumberFormat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3" fontId="35" fillId="0" borderId="26" xfId="1" applyNumberFormat="1" applyFont="1" applyBorder="1" applyAlignment="1">
      <alignment vertical="center" wrapText="1"/>
    </xf>
    <xf numFmtId="49" fontId="16" fillId="0" borderId="23" xfId="0" applyNumberFormat="1" applyFont="1" applyBorder="1" applyAlignment="1">
      <alignment horizontal="center" vertical="center" wrapText="1" shrinkToFit="1"/>
    </xf>
    <xf numFmtId="2" fontId="45" fillId="0" borderId="23" xfId="0" applyNumberFormat="1" applyFont="1" applyBorder="1" applyAlignment="1">
      <alignment horizontal="center" vertical="center" wrapText="1"/>
    </xf>
    <xf numFmtId="3" fontId="16" fillId="0" borderId="23" xfId="1" applyNumberFormat="1" applyFont="1" applyBorder="1" applyAlignment="1">
      <alignment vertical="center" wrapText="1"/>
    </xf>
    <xf numFmtId="0" fontId="15" fillId="0" borderId="19" xfId="1" applyFont="1" applyBorder="1" applyAlignment="1">
      <alignment horizontal="center" vertical="center" wrapText="1"/>
    </xf>
    <xf numFmtId="2" fontId="15" fillId="0" borderId="23" xfId="0" applyNumberFormat="1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49" fontId="21" fillId="0" borderId="25" xfId="0" applyNumberFormat="1" applyFont="1" applyBorder="1" applyAlignment="1">
      <alignment horizontal="center" vertical="center" wrapText="1" shrinkToFit="1"/>
    </xf>
    <xf numFmtId="49" fontId="46" fillId="0" borderId="25" xfId="0" applyNumberFormat="1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49" fontId="46" fillId="0" borderId="15" xfId="0" applyNumberFormat="1" applyFont="1" applyBorder="1" applyAlignment="1">
      <alignment horizontal="center" vertical="center" wrapText="1"/>
    </xf>
    <xf numFmtId="49" fontId="45" fillId="0" borderId="25" xfId="0" applyNumberFormat="1" applyFont="1" applyBorder="1" applyAlignment="1">
      <alignment horizontal="center" vertical="center" wrapText="1"/>
    </xf>
    <xf numFmtId="49" fontId="33" fillId="0" borderId="26" xfId="0" applyNumberFormat="1" applyFont="1" applyBorder="1" applyAlignment="1">
      <alignment horizontal="center" vertical="center" wrapText="1" shrinkToFit="1"/>
    </xf>
    <xf numFmtId="49" fontId="42" fillId="0" borderId="25" xfId="0" applyNumberFormat="1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3" fontId="33" fillId="0" borderId="23" xfId="1" applyNumberFormat="1" applyFont="1" applyBorder="1" applyAlignment="1">
      <alignment vertical="center" wrapText="1"/>
    </xf>
    <xf numFmtId="166" fontId="11" fillId="0" borderId="45" xfId="0" applyNumberFormat="1" applyFont="1" applyBorder="1" applyAlignment="1">
      <alignment horizontal="center" vertical="center" wrapText="1" shrinkToFit="1"/>
    </xf>
    <xf numFmtId="0" fontId="12" fillId="0" borderId="15" xfId="0" applyFont="1" applyBorder="1" applyAlignment="1">
      <alignment horizontal="center" vertical="center" wrapText="1"/>
    </xf>
    <xf numFmtId="0" fontId="11" fillId="0" borderId="45" xfId="1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  <xf numFmtId="49" fontId="35" fillId="0" borderId="25" xfId="0" applyNumberFormat="1" applyFont="1" applyBorder="1" applyAlignment="1">
      <alignment horizontal="center" vertical="center" wrapText="1"/>
    </xf>
    <xf numFmtId="0" fontId="38" fillId="0" borderId="31" xfId="0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3" fontId="35" fillId="0" borderId="23" xfId="0" applyNumberFormat="1" applyFont="1" applyBorder="1" applyAlignment="1">
      <alignment horizontal="right" vertical="center"/>
    </xf>
    <xf numFmtId="0" fontId="19" fillId="0" borderId="26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3" fontId="35" fillId="0" borderId="26" xfId="0" applyNumberFormat="1" applyFont="1" applyBorder="1" applyAlignment="1">
      <alignment horizontal="right" vertical="center"/>
    </xf>
    <xf numFmtId="49" fontId="35" fillId="0" borderId="31" xfId="0" applyNumberFormat="1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3" fontId="35" fillId="0" borderId="26" xfId="0" applyNumberFormat="1" applyFont="1" applyBorder="1" applyAlignment="1">
      <alignment horizontal="right" vertical="center" wrapText="1"/>
    </xf>
    <xf numFmtId="3" fontId="11" fillId="0" borderId="14" xfId="0" applyNumberFormat="1" applyFont="1" applyBorder="1" applyAlignment="1">
      <alignment horizontal="center" vertical="center"/>
    </xf>
    <xf numFmtId="49" fontId="35" fillId="0" borderId="33" xfId="0" applyNumberFormat="1" applyFont="1" applyBorder="1" applyAlignment="1">
      <alignment horizontal="center" vertical="center" shrinkToFit="1"/>
    </xf>
    <xf numFmtId="0" fontId="38" fillId="0" borderId="40" xfId="1" applyFont="1" applyBorder="1" applyAlignment="1">
      <alignment horizontal="center" vertical="center" wrapText="1"/>
    </xf>
    <xf numFmtId="0" fontId="19" fillId="0" borderId="35" xfId="1" applyFont="1" applyBorder="1" applyAlignment="1">
      <alignment horizontal="center" vertical="center" wrapText="1"/>
    </xf>
    <xf numFmtId="0" fontId="19" fillId="0" borderId="33" xfId="1" applyFont="1" applyBorder="1" applyAlignment="1">
      <alignment horizontal="center" vertical="center" wrapText="1"/>
    </xf>
    <xf numFmtId="3" fontId="35" fillId="0" borderId="33" xfId="1" applyNumberFormat="1" applyFont="1" applyBorder="1" applyAlignment="1">
      <alignment vertical="center"/>
    </xf>
    <xf numFmtId="49" fontId="13" fillId="0" borderId="26" xfId="0" applyNumberFormat="1" applyFont="1" applyBorder="1" applyAlignment="1">
      <alignment horizontal="center" vertical="center" shrinkToFit="1"/>
    </xf>
    <xf numFmtId="0" fontId="14" fillId="0" borderId="37" xfId="1" applyFont="1" applyBorder="1" applyAlignment="1">
      <alignment horizontal="center" vertical="center" wrapText="1"/>
    </xf>
    <xf numFmtId="3" fontId="13" fillId="0" borderId="26" xfId="1" applyNumberFormat="1" applyFont="1" applyBorder="1" applyAlignment="1">
      <alignment vertical="center"/>
    </xf>
    <xf numFmtId="49" fontId="35" fillId="0" borderId="13" xfId="0" applyNumberFormat="1" applyFont="1" applyBorder="1" applyAlignment="1">
      <alignment horizontal="center" vertical="center" shrinkToFit="1"/>
    </xf>
    <xf numFmtId="0" fontId="38" fillId="0" borderId="19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3" fontId="35" fillId="0" borderId="13" xfId="1" applyNumberFormat="1" applyFont="1" applyBorder="1" applyAlignment="1">
      <alignment vertical="center"/>
    </xf>
    <xf numFmtId="49" fontId="18" fillId="0" borderId="33" xfId="0" applyNumberFormat="1" applyFont="1" applyBorder="1" applyAlignment="1">
      <alignment horizontal="center" vertical="center" shrinkToFit="1"/>
    </xf>
    <xf numFmtId="0" fontId="39" fillId="0" borderId="40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33" xfId="1" applyFont="1" applyBorder="1" applyAlignment="1">
      <alignment horizontal="center" vertical="center" wrapText="1"/>
    </xf>
    <xf numFmtId="3" fontId="18" fillId="0" borderId="33" xfId="1" applyNumberFormat="1" applyFont="1" applyBorder="1" applyAlignment="1">
      <alignment vertical="center"/>
    </xf>
    <xf numFmtId="49" fontId="16" fillId="0" borderId="33" xfId="0" applyNumberFormat="1" applyFont="1" applyBorder="1" applyAlignment="1">
      <alignment horizontal="center" vertical="center" shrinkToFit="1"/>
    </xf>
    <xf numFmtId="0" fontId="45" fillId="0" borderId="40" xfId="1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33" xfId="1" applyFont="1" applyBorder="1" applyAlignment="1">
      <alignment horizontal="center" vertical="center" wrapText="1"/>
    </xf>
    <xf numFmtId="3" fontId="16" fillId="0" borderId="33" xfId="1" applyNumberFormat="1" applyFont="1" applyBorder="1" applyAlignment="1">
      <alignment vertical="center"/>
    </xf>
    <xf numFmtId="49" fontId="35" fillId="0" borderId="22" xfId="0" applyNumberFormat="1" applyFont="1" applyBorder="1" applyAlignment="1">
      <alignment horizontal="center" vertical="center" shrinkToFit="1"/>
    </xf>
    <xf numFmtId="0" fontId="38" fillId="0" borderId="0" xfId="1" applyFont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22" xfId="1" applyFont="1" applyBorder="1" applyAlignment="1">
      <alignment horizontal="center" vertical="center" wrapText="1"/>
    </xf>
    <xf numFmtId="3" fontId="35" fillId="0" borderId="22" xfId="1" applyNumberFormat="1" applyFont="1" applyBorder="1" applyAlignment="1">
      <alignment vertical="center"/>
    </xf>
    <xf numFmtId="49" fontId="16" fillId="0" borderId="22" xfId="0" applyNumberFormat="1" applyFont="1" applyBorder="1" applyAlignment="1">
      <alignment horizontal="center" vertical="center" shrinkToFit="1"/>
    </xf>
    <xf numFmtId="0" fontId="45" fillId="0" borderId="0" xfId="1" applyFont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3" fontId="16" fillId="0" borderId="22" xfId="1" applyNumberFormat="1" applyFont="1" applyBorder="1" applyAlignment="1">
      <alignment vertical="center"/>
    </xf>
    <xf numFmtId="49" fontId="35" fillId="0" borderId="26" xfId="0" applyNumberFormat="1" applyFont="1" applyBorder="1" applyAlignment="1">
      <alignment horizontal="center" vertical="center" shrinkToFit="1"/>
    </xf>
    <xf numFmtId="0" fontId="38" fillId="0" borderId="37" xfId="1" applyFont="1" applyBorder="1" applyAlignment="1">
      <alignment horizontal="center" vertical="center" wrapText="1"/>
    </xf>
    <xf numFmtId="0" fontId="19" fillId="0" borderId="32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 wrapText="1"/>
    </xf>
    <xf numFmtId="3" fontId="35" fillId="0" borderId="26" xfId="1" applyNumberFormat="1" applyFont="1" applyBorder="1" applyAlignment="1">
      <alignment vertical="center"/>
    </xf>
    <xf numFmtId="49" fontId="35" fillId="0" borderId="23" xfId="0" applyNumberFormat="1" applyFont="1" applyBorder="1" applyAlignment="1">
      <alignment horizontal="center" vertical="center" shrinkToFit="1"/>
    </xf>
    <xf numFmtId="0" fontId="38" fillId="0" borderId="27" xfId="1" applyFont="1" applyBorder="1" applyAlignment="1">
      <alignment horizontal="center" vertical="center" wrapText="1"/>
    </xf>
    <xf numFmtId="3" fontId="35" fillId="0" borderId="23" xfId="1" applyNumberFormat="1" applyFont="1" applyBorder="1" applyAlignment="1">
      <alignment vertical="center"/>
    </xf>
    <xf numFmtId="49" fontId="11" fillId="0" borderId="13" xfId="0" applyNumberFormat="1" applyFont="1" applyBorder="1" applyAlignment="1">
      <alignment horizontal="center" vertical="center" wrapText="1" shrinkToFit="1"/>
    </xf>
    <xf numFmtId="0" fontId="12" fillId="0" borderId="15" xfId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 shrinkToFit="1"/>
    </xf>
    <xf numFmtId="0" fontId="12" fillId="0" borderId="30" xfId="1" applyFont="1" applyBorder="1" applyAlignment="1">
      <alignment horizontal="center" vertical="center" wrapText="1"/>
    </xf>
    <xf numFmtId="49" fontId="21" fillId="0" borderId="31" xfId="0" applyNumberFormat="1" applyFont="1" applyBorder="1" applyAlignment="1">
      <alignment horizontal="center" vertical="center" wrapText="1" shrinkToFit="1"/>
    </xf>
    <xf numFmtId="0" fontId="46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3" fontId="21" fillId="0" borderId="26" xfId="1" applyNumberFormat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0" fontId="45" fillId="0" borderId="25" xfId="0" applyFont="1" applyBorder="1" applyAlignment="1">
      <alignment horizontal="center" vertical="center" wrapText="1"/>
    </xf>
    <xf numFmtId="3" fontId="16" fillId="0" borderId="23" xfId="0" applyNumberFormat="1" applyFont="1" applyBorder="1" applyAlignment="1">
      <alignment horizontal="right" vertical="center"/>
    </xf>
    <xf numFmtId="0" fontId="38" fillId="0" borderId="25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3" fontId="16" fillId="0" borderId="26" xfId="0" applyNumberFormat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right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right" vertical="center" wrapText="1"/>
    </xf>
    <xf numFmtId="3" fontId="35" fillId="0" borderId="13" xfId="0" applyNumberFormat="1" applyFont="1" applyBorder="1" applyAlignment="1">
      <alignment horizontal="right" vertical="center" wrapText="1"/>
    </xf>
    <xf numFmtId="3" fontId="19" fillId="0" borderId="19" xfId="0" applyNumberFormat="1" applyFont="1" applyBorder="1" applyAlignment="1">
      <alignment horizontal="right" vertical="center" wrapText="1"/>
    </xf>
    <xf numFmtId="3" fontId="19" fillId="0" borderId="60" xfId="0" applyNumberFormat="1" applyFont="1" applyBorder="1" applyAlignment="1">
      <alignment horizontal="right" vertical="center" wrapText="1"/>
    </xf>
    <xf numFmtId="3" fontId="19" fillId="0" borderId="45" xfId="0" applyNumberFormat="1" applyFont="1" applyBorder="1" applyAlignment="1">
      <alignment horizontal="right" vertical="center" wrapText="1"/>
    </xf>
    <xf numFmtId="3" fontId="19" fillId="0" borderId="26" xfId="0" applyNumberFormat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3" fontId="11" fillId="0" borderId="60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4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3" fontId="18" fillId="0" borderId="14" xfId="0" applyNumberFormat="1" applyFont="1" applyBorder="1" applyAlignment="1">
      <alignment horizontal="right" vertical="center" wrapText="1"/>
    </xf>
    <xf numFmtId="3" fontId="17" fillId="0" borderId="14" xfId="0" applyNumberFormat="1" applyFont="1" applyBorder="1" applyAlignment="1">
      <alignment vertical="center" wrapText="1"/>
    </xf>
    <xf numFmtId="3" fontId="17" fillId="0" borderId="68" xfId="0" applyNumberFormat="1" applyFont="1" applyBorder="1" applyAlignment="1">
      <alignment vertical="center" wrapText="1"/>
    </xf>
    <xf numFmtId="3" fontId="17" fillId="0" borderId="69" xfId="0" applyNumberFormat="1" applyFont="1" applyBorder="1" applyAlignment="1">
      <alignment vertical="center" wrapText="1"/>
    </xf>
    <xf numFmtId="49" fontId="11" fillId="0" borderId="30" xfId="0" applyNumberFormat="1" applyFont="1" applyBorder="1" applyAlignment="1">
      <alignment horizontal="center" vertical="center"/>
    </xf>
    <xf numFmtId="3" fontId="35" fillId="0" borderId="18" xfId="0" applyNumberFormat="1" applyFont="1" applyBorder="1" applyAlignment="1">
      <alignment horizontal="right" vertical="center" wrapText="1"/>
    </xf>
    <xf numFmtId="3" fontId="19" fillId="0" borderId="56" xfId="0" applyNumberFormat="1" applyFont="1" applyBorder="1" applyAlignment="1">
      <alignment horizontal="right" vertical="center" wrapText="1"/>
    </xf>
    <xf numFmtId="3" fontId="19" fillId="0" borderId="6" xfId="0" applyNumberFormat="1" applyFont="1" applyBorder="1" applyAlignment="1">
      <alignment horizontal="right" vertical="center" wrapText="1"/>
    </xf>
    <xf numFmtId="3" fontId="19" fillId="0" borderId="38" xfId="0" applyNumberFormat="1" applyFont="1" applyBorder="1" applyAlignment="1">
      <alignment horizontal="right" vertical="center" wrapText="1"/>
    </xf>
    <xf numFmtId="3" fontId="19" fillId="0" borderId="5" xfId="0" applyNumberFormat="1" applyFont="1" applyBorder="1" applyAlignment="1">
      <alignment horizontal="right" vertical="center" wrapText="1"/>
    </xf>
    <xf numFmtId="2" fontId="20" fillId="0" borderId="18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3" fontId="21" fillId="0" borderId="23" xfId="0" applyNumberFormat="1" applyFont="1" applyBorder="1" applyAlignment="1">
      <alignment horizontal="right" vertical="center" wrapText="1"/>
    </xf>
    <xf numFmtId="3" fontId="20" fillId="0" borderId="21" xfId="0" applyNumberFormat="1" applyFont="1" applyBorder="1" applyAlignment="1">
      <alignment horizontal="right" vertical="center" wrapText="1"/>
    </xf>
    <xf numFmtId="3" fontId="20" fillId="0" borderId="24" xfId="0" applyNumberFormat="1" applyFont="1" applyBorder="1" applyAlignment="1">
      <alignment horizontal="right" vertical="center" wrapText="1"/>
    </xf>
    <xf numFmtId="3" fontId="20" fillId="0" borderId="44" xfId="0" applyNumberFormat="1" applyFont="1" applyBorder="1" applyAlignment="1">
      <alignment horizontal="right" vertical="center" wrapText="1"/>
    </xf>
    <xf numFmtId="49" fontId="20" fillId="0" borderId="27" xfId="0" applyNumberFormat="1" applyFont="1" applyBorder="1" applyAlignment="1">
      <alignment horizontal="center" vertical="center" wrapText="1"/>
    </xf>
    <xf numFmtId="49" fontId="20" fillId="0" borderId="25" xfId="0" applyNumberFormat="1" applyFont="1" applyBorder="1" applyAlignment="1">
      <alignment horizontal="center" vertical="center" wrapText="1"/>
    </xf>
    <xf numFmtId="49" fontId="20" fillId="0" borderId="23" xfId="0" applyNumberFormat="1" applyFont="1" applyBorder="1" applyAlignment="1">
      <alignment horizontal="center" vertical="center" wrapText="1"/>
    </xf>
    <xf numFmtId="3" fontId="35" fillId="0" borderId="23" xfId="0" applyNumberFormat="1" applyFont="1" applyBorder="1" applyAlignment="1">
      <alignment horizontal="right" vertical="center" wrapText="1"/>
    </xf>
    <xf numFmtId="3" fontId="19" fillId="0" borderId="21" xfId="0" applyNumberFormat="1" applyFont="1" applyBorder="1" applyAlignment="1">
      <alignment horizontal="right" vertical="center" wrapText="1"/>
    </xf>
    <xf numFmtId="3" fontId="19" fillId="0" borderId="24" xfId="0" applyNumberFormat="1" applyFont="1" applyBorder="1" applyAlignment="1">
      <alignment horizontal="right" vertical="center" wrapText="1"/>
    </xf>
    <xf numFmtId="3" fontId="19" fillId="0" borderId="44" xfId="0" applyNumberFormat="1" applyFont="1" applyBorder="1" applyAlignment="1">
      <alignment horizontal="right" vertical="center" wrapText="1"/>
    </xf>
    <xf numFmtId="3" fontId="19" fillId="0" borderId="27" xfId="0" applyNumberFormat="1" applyFont="1" applyBorder="1" applyAlignment="1">
      <alignment horizontal="right" vertical="center" wrapText="1"/>
    </xf>
    <xf numFmtId="2" fontId="19" fillId="0" borderId="23" xfId="0" applyNumberFormat="1" applyFont="1" applyBorder="1" applyAlignment="1">
      <alignment horizontal="center" vertical="center" wrapText="1"/>
    </xf>
    <xf numFmtId="49" fontId="19" fillId="0" borderId="27" xfId="0" applyNumberFormat="1" applyFont="1" applyBorder="1" applyAlignment="1">
      <alignment horizontal="center" vertical="center" wrapText="1"/>
    </xf>
    <xf numFmtId="49" fontId="19" fillId="0" borderId="25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right" vertical="center" wrapText="1"/>
    </xf>
    <xf numFmtId="3" fontId="15" fillId="0" borderId="48" xfId="0" applyNumberFormat="1" applyFont="1" applyBorder="1" applyAlignment="1">
      <alignment horizontal="right" vertical="center" wrapText="1"/>
    </xf>
    <xf numFmtId="3" fontId="15" fillId="0" borderId="45" xfId="0" applyNumberFormat="1" applyFont="1" applyBorder="1" applyAlignment="1">
      <alignment horizontal="right" vertical="center" wrapText="1"/>
    </xf>
    <xf numFmtId="3" fontId="15" fillId="0" borderId="54" xfId="0" applyNumberFormat="1" applyFont="1" applyBorder="1" applyAlignment="1">
      <alignment horizontal="right" vertical="center" wrapText="1"/>
    </xf>
    <xf numFmtId="49" fontId="15" fillId="0" borderId="19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2" fontId="20" fillId="0" borderId="23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2" fontId="11" fillId="0" borderId="23" xfId="0" applyNumberFormat="1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3" fontId="21" fillId="0" borderId="14" xfId="0" applyNumberFormat="1" applyFont="1" applyBorder="1" applyAlignment="1">
      <alignment horizontal="right" vertical="center" wrapText="1"/>
    </xf>
    <xf numFmtId="3" fontId="20" fillId="0" borderId="48" xfId="0" applyNumberFormat="1" applyFont="1" applyBorder="1" applyAlignment="1">
      <alignment horizontal="right" vertical="center" wrapText="1"/>
    </xf>
    <xf numFmtId="3" fontId="20" fillId="0" borderId="45" xfId="0" applyNumberFormat="1" applyFont="1" applyBorder="1" applyAlignment="1">
      <alignment horizontal="right" vertical="center" wrapText="1"/>
    </xf>
    <xf numFmtId="3" fontId="20" fillId="0" borderId="54" xfId="0" applyNumberFormat="1" applyFont="1" applyBorder="1" applyAlignment="1">
      <alignment horizontal="right" vertical="center" wrapText="1"/>
    </xf>
    <xf numFmtId="3" fontId="20" fillId="0" borderId="19" xfId="0" applyNumberFormat="1" applyFont="1" applyBorder="1" applyAlignment="1">
      <alignment horizontal="right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16" fillId="0" borderId="23" xfId="0" applyNumberFormat="1" applyFont="1" applyBorder="1" applyAlignment="1">
      <alignment horizontal="right" vertical="center" wrapText="1"/>
    </xf>
    <xf numFmtId="3" fontId="15" fillId="0" borderId="20" xfId="0" applyNumberFormat="1" applyFont="1" applyBorder="1" applyAlignment="1">
      <alignment horizontal="right" vertical="center" wrapText="1"/>
    </xf>
    <xf numFmtId="3" fontId="15" fillId="0" borderId="32" xfId="0" applyNumberFormat="1" applyFont="1" applyBorder="1" applyAlignment="1">
      <alignment horizontal="right" vertical="center" wrapText="1"/>
    </xf>
    <xf numFmtId="3" fontId="15" fillId="0" borderId="36" xfId="0" applyNumberFormat="1" applyFont="1" applyBorder="1" applyAlignment="1">
      <alignment horizontal="right" vertical="center" wrapText="1"/>
    </xf>
    <xf numFmtId="2" fontId="15" fillId="0" borderId="26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5" fillId="0" borderId="26" xfId="0" applyNumberFormat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3" fontId="16" fillId="0" borderId="26" xfId="0" applyNumberFormat="1" applyFont="1" applyBorder="1" applyAlignment="1">
      <alignment horizontal="right" vertical="center" wrapText="1"/>
    </xf>
    <xf numFmtId="3" fontId="15" fillId="0" borderId="41" xfId="0" applyNumberFormat="1" applyFont="1" applyBorder="1" applyAlignment="1">
      <alignment horizontal="right" vertical="center" wrapText="1"/>
    </xf>
    <xf numFmtId="2" fontId="15" fillId="0" borderId="22" xfId="0" applyNumberFormat="1" applyFont="1" applyBorder="1" applyAlignment="1">
      <alignment horizontal="center" vertical="center" wrapText="1"/>
    </xf>
    <xf numFmtId="3" fontId="19" fillId="0" borderId="20" xfId="0" applyNumberFormat="1" applyFont="1" applyBorder="1" applyAlignment="1">
      <alignment horizontal="right" vertical="center" wrapText="1"/>
    </xf>
    <xf numFmtId="2" fontId="19" fillId="0" borderId="26" xfId="0" applyNumberFormat="1" applyFont="1" applyBorder="1" applyAlignment="1">
      <alignment horizontal="center" vertical="center" wrapText="1"/>
    </xf>
    <xf numFmtId="49" fontId="19" fillId="0" borderId="26" xfId="0" applyNumberFormat="1" applyFont="1" applyBorder="1" applyAlignment="1">
      <alignment horizontal="center" vertical="center" wrapText="1"/>
    </xf>
    <xf numFmtId="3" fontId="15" fillId="0" borderId="21" xfId="0" applyNumberFormat="1" applyFont="1" applyBorder="1" applyAlignment="1">
      <alignment horizontal="right" vertical="center" wrapText="1"/>
    </xf>
    <xf numFmtId="3" fontId="15" fillId="0" borderId="75" xfId="0" applyNumberFormat="1" applyFont="1" applyBorder="1" applyAlignment="1">
      <alignment horizontal="right" vertical="center" wrapText="1"/>
    </xf>
    <xf numFmtId="3" fontId="15" fillId="0" borderId="27" xfId="0" applyNumberFormat="1" applyFont="1" applyBorder="1" applyAlignment="1">
      <alignment horizontal="right" vertical="center" wrapText="1"/>
    </xf>
    <xf numFmtId="0" fontId="15" fillId="0" borderId="23" xfId="1" applyFont="1" applyBorder="1" applyAlignment="1">
      <alignment horizontal="center" vertical="center" wrapText="1"/>
    </xf>
    <xf numFmtId="3" fontId="15" fillId="0" borderId="17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3" fontId="20" fillId="0" borderId="75" xfId="0" applyNumberFormat="1" applyFont="1" applyBorder="1" applyAlignment="1">
      <alignment horizontal="right" vertical="center" wrapText="1"/>
    </xf>
    <xf numFmtId="2" fontId="20" fillId="0" borderId="26" xfId="0" applyNumberFormat="1" applyFont="1" applyBorder="1" applyAlignment="1">
      <alignment horizontal="center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right" vertical="center" wrapText="1"/>
    </xf>
    <xf numFmtId="0" fontId="20" fillId="0" borderId="15" xfId="0" applyFont="1" applyBorder="1" applyAlignment="1">
      <alignment horizontal="center" vertical="center" wrapText="1"/>
    </xf>
    <xf numFmtId="3" fontId="15" fillId="0" borderId="24" xfId="0" applyNumberFormat="1" applyFont="1" applyBorder="1" applyAlignment="1">
      <alignment horizontal="right" vertical="center" wrapText="1"/>
    </xf>
    <xf numFmtId="0" fontId="15" fillId="0" borderId="25" xfId="0" applyFont="1" applyBorder="1" applyAlignment="1">
      <alignment horizontal="center" vertical="center" wrapText="1"/>
    </xf>
    <xf numFmtId="3" fontId="33" fillId="0" borderId="23" xfId="0" applyNumberFormat="1" applyFont="1" applyBorder="1" applyAlignment="1">
      <alignment horizontal="right" vertical="center" wrapText="1"/>
    </xf>
    <xf numFmtId="3" fontId="25" fillId="0" borderId="24" xfId="0" applyNumberFormat="1" applyFont="1" applyBorder="1" applyAlignment="1">
      <alignment horizontal="right" vertical="center" wrapText="1"/>
    </xf>
    <xf numFmtId="3" fontId="25" fillId="0" borderId="21" xfId="0" applyNumberFormat="1" applyFont="1" applyBorder="1" applyAlignment="1">
      <alignment horizontal="right" vertical="center" wrapText="1"/>
    </xf>
    <xf numFmtId="3" fontId="25" fillId="0" borderId="47" xfId="0" applyNumberFormat="1" applyFont="1" applyBorder="1" applyAlignment="1">
      <alignment horizontal="right" vertical="center" wrapText="1"/>
    </xf>
    <xf numFmtId="3" fontId="25" fillId="0" borderId="36" xfId="0" applyNumberFormat="1" applyFont="1" applyBorder="1" applyAlignment="1">
      <alignment horizontal="right" vertical="center" wrapText="1"/>
    </xf>
    <xf numFmtId="3" fontId="25" fillId="0" borderId="20" xfId="0" applyNumberFormat="1" applyFont="1" applyBorder="1" applyAlignment="1">
      <alignment horizontal="right" vertical="center" wrapText="1"/>
    </xf>
    <xf numFmtId="3" fontId="25" fillId="0" borderId="32" xfId="0" applyNumberFormat="1" applyFont="1" applyBorder="1" applyAlignment="1">
      <alignment horizontal="right" vertical="center" wrapText="1"/>
    </xf>
    <xf numFmtId="2" fontId="25" fillId="0" borderId="23" xfId="0" applyNumberFormat="1" applyFont="1" applyBorder="1" applyAlignment="1">
      <alignment horizontal="center" vertical="center" wrapText="1"/>
    </xf>
    <xf numFmtId="49" fontId="25" fillId="0" borderId="25" xfId="0" applyNumberFormat="1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165" fontId="11" fillId="0" borderId="60" xfId="0" applyNumberFormat="1" applyFont="1" applyBorder="1" applyAlignment="1">
      <alignment horizontal="center" vertical="center" wrapText="1"/>
    </xf>
    <xf numFmtId="3" fontId="17" fillId="0" borderId="16" xfId="0" applyNumberFormat="1" applyFont="1" applyBorder="1" applyAlignment="1">
      <alignment vertical="center"/>
    </xf>
    <xf numFmtId="3" fontId="17" fillId="0" borderId="72" xfId="0" applyNumberFormat="1" applyFont="1" applyBorder="1" applyAlignment="1">
      <alignment horizontal="right" vertical="center"/>
    </xf>
    <xf numFmtId="3" fontId="17" fillId="0" borderId="69" xfId="0" applyNumberFormat="1" applyFont="1" applyBorder="1" applyAlignment="1">
      <alignment horizontal="right" vertical="center"/>
    </xf>
    <xf numFmtId="3" fontId="17" fillId="0" borderId="16" xfId="0" applyNumberFormat="1" applyFont="1" applyBorder="1" applyAlignment="1">
      <alignment horizontal="right" vertical="center"/>
    </xf>
    <xf numFmtId="49" fontId="17" fillId="0" borderId="30" xfId="0" applyNumberFormat="1" applyFont="1" applyBorder="1" applyAlignment="1">
      <alignment horizontal="center" vertical="center" wrapText="1"/>
    </xf>
    <xf numFmtId="3" fontId="17" fillId="0" borderId="14" xfId="0" applyNumberFormat="1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3" fontId="11" fillId="0" borderId="37" xfId="0" applyNumberFormat="1" applyFont="1" applyBorder="1" applyAlignment="1">
      <alignment vertical="center"/>
    </xf>
    <xf numFmtId="3" fontId="19" fillId="0" borderId="27" xfId="0" applyNumberFormat="1" applyFont="1" applyBorder="1" applyAlignment="1">
      <alignment horizontal="right" vertical="center"/>
    </xf>
    <xf numFmtId="3" fontId="19" fillId="0" borderId="20" xfId="0" applyNumberFormat="1" applyFont="1" applyBorder="1" applyAlignment="1">
      <alignment horizontal="right" vertical="center"/>
    </xf>
    <xf numFmtId="3" fontId="19" fillId="0" borderId="44" xfId="0" applyNumberFormat="1" applyFont="1" applyBorder="1" applyAlignment="1">
      <alignment horizontal="right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3" fontId="19" fillId="0" borderId="23" xfId="0" applyNumberFormat="1" applyFont="1" applyBorder="1" applyAlignment="1">
      <alignment horizontal="center" vertical="center" wrapText="1"/>
    </xf>
    <xf numFmtId="49" fontId="19" fillId="0" borderId="31" xfId="0" applyNumberFormat="1" applyFont="1" applyBorder="1" applyAlignment="1">
      <alignment horizontal="center" vertical="center" wrapText="1"/>
    </xf>
    <xf numFmtId="3" fontId="19" fillId="0" borderId="32" xfId="0" applyNumberFormat="1" applyFont="1" applyBorder="1" applyAlignment="1">
      <alignment horizontal="right" vertical="center" wrapText="1"/>
    </xf>
    <xf numFmtId="3" fontId="11" fillId="0" borderId="16" xfId="0" applyNumberFormat="1" applyFont="1" applyBorder="1" applyAlignment="1">
      <alignment horizontal="center" vertical="center"/>
    </xf>
    <xf numFmtId="3" fontId="11" fillId="0" borderId="68" xfId="0" applyNumberFormat="1" applyFont="1" applyBorder="1" applyAlignment="1">
      <alignment horizontal="center" vertical="center"/>
    </xf>
    <xf numFmtId="3" fontId="11" fillId="0" borderId="69" xfId="0" applyNumberFormat="1" applyFont="1" applyBorder="1" applyAlignment="1">
      <alignment horizontal="center" vertical="center"/>
    </xf>
    <xf numFmtId="3" fontId="11" fillId="0" borderId="72" xfId="0" applyNumberFormat="1" applyFont="1" applyBorder="1" applyAlignment="1">
      <alignment horizontal="center" vertical="center"/>
    </xf>
    <xf numFmtId="3" fontId="35" fillId="0" borderId="35" xfId="0" applyNumberFormat="1" applyFont="1" applyBorder="1" applyAlignment="1">
      <alignment horizontal="right" vertical="center"/>
    </xf>
    <xf numFmtId="3" fontId="19" fillId="0" borderId="33" xfId="0" applyNumberFormat="1" applyFont="1" applyBorder="1" applyAlignment="1">
      <alignment vertical="center"/>
    </xf>
    <xf numFmtId="3" fontId="19" fillId="0" borderId="34" xfId="0" applyNumberFormat="1" applyFont="1" applyBorder="1" applyAlignment="1">
      <alignment vertical="center"/>
    </xf>
    <xf numFmtId="3" fontId="19" fillId="0" borderId="49" xfId="0" applyNumberFormat="1" applyFont="1" applyBorder="1" applyAlignment="1">
      <alignment vertical="center"/>
    </xf>
    <xf numFmtId="3" fontId="19" fillId="0" borderId="43" xfId="0" applyNumberFormat="1" applyFont="1" applyBorder="1" applyAlignment="1">
      <alignment vertical="center"/>
    </xf>
    <xf numFmtId="3" fontId="19" fillId="0" borderId="40" xfId="0" applyNumberFormat="1" applyFont="1" applyBorder="1" applyAlignment="1">
      <alignment vertical="center"/>
    </xf>
    <xf numFmtId="3" fontId="19" fillId="0" borderId="49" xfId="0" applyNumberFormat="1" applyFont="1" applyBorder="1" applyAlignment="1">
      <alignment horizontal="right" vertical="center"/>
    </xf>
    <xf numFmtId="3" fontId="19" fillId="0" borderId="70" xfId="0" applyNumberFormat="1" applyFont="1" applyBorder="1" applyAlignment="1">
      <alignment horizontal="right" vertical="center"/>
    </xf>
    <xf numFmtId="3" fontId="19" fillId="0" borderId="40" xfId="0" applyNumberFormat="1" applyFont="1" applyBorder="1" applyAlignment="1">
      <alignment horizontal="right" vertical="center"/>
    </xf>
    <xf numFmtId="0" fontId="19" fillId="0" borderId="33" xfId="0" applyFont="1" applyBorder="1" applyAlignment="1">
      <alignment horizontal="center" vertical="center"/>
    </xf>
    <xf numFmtId="49" fontId="19" fillId="0" borderId="40" xfId="0" applyNumberFormat="1" applyFont="1" applyBorder="1" applyAlignment="1">
      <alignment horizontal="center" vertical="center"/>
    </xf>
    <xf numFmtId="49" fontId="19" fillId="0" borderId="34" xfId="0" applyNumberFormat="1" applyFont="1" applyBorder="1" applyAlignment="1">
      <alignment horizontal="center" vertical="center"/>
    </xf>
    <xf numFmtId="49" fontId="19" fillId="0" borderId="33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vertical="center"/>
    </xf>
    <xf numFmtId="3" fontId="11" fillId="0" borderId="31" xfId="0" applyNumberFormat="1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49" fontId="11" fillId="0" borderId="37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3" fontId="35" fillId="0" borderId="45" xfId="0" applyNumberFormat="1" applyFont="1" applyBorder="1" applyAlignment="1">
      <alignment horizontal="right" vertical="center"/>
    </xf>
    <xf numFmtId="3" fontId="19" fillId="0" borderId="13" xfId="0" applyNumberFormat="1" applyFont="1" applyBorder="1" applyAlignment="1">
      <alignment vertical="center"/>
    </xf>
    <xf numFmtId="3" fontId="19" fillId="0" borderId="15" xfId="0" applyNumberFormat="1" applyFont="1" applyBorder="1" applyAlignment="1">
      <alignment vertical="center"/>
    </xf>
    <xf numFmtId="3" fontId="19" fillId="0" borderId="60" xfId="0" applyNumberFormat="1" applyFont="1" applyBorder="1" applyAlignment="1">
      <alignment vertical="center"/>
    </xf>
    <xf numFmtId="3" fontId="19" fillId="0" borderId="48" xfId="0" applyNumberFormat="1" applyFont="1" applyBorder="1" applyAlignment="1">
      <alignment vertical="center"/>
    </xf>
    <xf numFmtId="3" fontId="19" fillId="0" borderId="19" xfId="0" applyNumberFormat="1" applyFont="1" applyBorder="1" applyAlignment="1">
      <alignment vertical="center"/>
    </xf>
    <xf numFmtId="3" fontId="19" fillId="0" borderId="60" xfId="0" applyNumberFormat="1" applyFont="1" applyBorder="1" applyAlignment="1">
      <alignment horizontal="right" vertical="center"/>
    </xf>
    <xf numFmtId="3" fontId="19" fillId="0" borderId="54" xfId="0" applyNumberFormat="1" applyFont="1" applyBorder="1" applyAlignment="1">
      <alignment horizontal="right" vertical="center"/>
    </xf>
    <xf numFmtId="3" fontId="19" fillId="0" borderId="19" xfId="0" applyNumberFormat="1" applyFont="1" applyBorder="1" applyAlignment="1">
      <alignment horizontal="right" vertical="center"/>
    </xf>
    <xf numFmtId="0" fontId="19" fillId="0" borderId="13" xfId="0" applyFont="1" applyBorder="1" applyAlignment="1">
      <alignment horizontal="center" vertical="center"/>
    </xf>
    <xf numFmtId="49" fontId="19" fillId="0" borderId="19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3" fontId="18" fillId="0" borderId="35" xfId="0" applyNumberFormat="1" applyFont="1" applyBorder="1" applyAlignment="1">
      <alignment horizontal="right" vertical="center"/>
    </xf>
    <xf numFmtId="3" fontId="17" fillId="0" borderId="33" xfId="0" applyNumberFormat="1" applyFont="1" applyBorder="1" applyAlignment="1">
      <alignment vertical="center"/>
    </xf>
    <xf numFmtId="3" fontId="17" fillId="0" borderId="34" xfId="0" applyNumberFormat="1" applyFont="1" applyBorder="1" applyAlignment="1">
      <alignment vertical="center"/>
    </xf>
    <xf numFmtId="3" fontId="17" fillId="0" borderId="49" xfId="0" applyNumberFormat="1" applyFont="1" applyBorder="1" applyAlignment="1">
      <alignment vertical="center"/>
    </xf>
    <xf numFmtId="3" fontId="17" fillId="0" borderId="43" xfId="0" applyNumberFormat="1" applyFont="1" applyBorder="1" applyAlignment="1">
      <alignment vertical="center"/>
    </xf>
    <xf numFmtId="3" fontId="17" fillId="0" borderId="40" xfId="0" applyNumberFormat="1" applyFont="1" applyBorder="1" applyAlignment="1">
      <alignment vertical="center"/>
    </xf>
    <xf numFmtId="3" fontId="17" fillId="0" borderId="49" xfId="0" applyNumberFormat="1" applyFont="1" applyBorder="1" applyAlignment="1">
      <alignment horizontal="right" vertical="center"/>
    </xf>
    <xf numFmtId="3" fontId="17" fillId="0" borderId="70" xfId="0" applyNumberFormat="1" applyFont="1" applyBorder="1" applyAlignment="1">
      <alignment horizontal="right" vertical="center"/>
    </xf>
    <xf numFmtId="0" fontId="17" fillId="0" borderId="33" xfId="0" applyFont="1" applyBorder="1" applyAlignment="1">
      <alignment horizontal="center" vertical="center"/>
    </xf>
    <xf numFmtId="49" fontId="17" fillId="0" borderId="40" xfId="0" applyNumberFormat="1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center" vertical="center"/>
    </xf>
    <xf numFmtId="49" fontId="17" fillId="0" borderId="33" xfId="0" applyNumberFormat="1" applyFont="1" applyBorder="1" applyAlignment="1">
      <alignment horizontal="center" vertical="center" wrapText="1"/>
    </xf>
    <xf numFmtId="3" fontId="16" fillId="0" borderId="35" xfId="0" applyNumberFormat="1" applyFont="1" applyBorder="1" applyAlignment="1">
      <alignment horizontal="right" vertical="center"/>
    </xf>
    <xf numFmtId="3" fontId="15" fillId="0" borderId="33" xfId="0" applyNumberFormat="1" applyFont="1" applyBorder="1" applyAlignment="1">
      <alignment vertical="center"/>
    </xf>
    <xf numFmtId="3" fontId="15" fillId="0" borderId="34" xfId="0" applyNumberFormat="1" applyFont="1" applyBorder="1" applyAlignment="1">
      <alignment vertical="center"/>
    </xf>
    <xf numFmtId="3" fontId="15" fillId="0" borderId="49" xfId="0" applyNumberFormat="1" applyFont="1" applyBorder="1" applyAlignment="1">
      <alignment vertical="center"/>
    </xf>
    <xf numFmtId="3" fontId="15" fillId="0" borderId="43" xfId="0" applyNumberFormat="1" applyFont="1" applyBorder="1" applyAlignment="1">
      <alignment vertical="center"/>
    </xf>
    <xf numFmtId="3" fontId="15" fillId="0" borderId="40" xfId="0" applyNumberFormat="1" applyFont="1" applyBorder="1" applyAlignment="1">
      <alignment vertical="center"/>
    </xf>
    <xf numFmtId="3" fontId="15" fillId="0" borderId="49" xfId="0" applyNumberFormat="1" applyFont="1" applyBorder="1" applyAlignment="1">
      <alignment horizontal="right" vertical="center"/>
    </xf>
    <xf numFmtId="3" fontId="15" fillId="0" borderId="70" xfId="0" applyNumberFormat="1" applyFont="1" applyBorder="1" applyAlignment="1">
      <alignment horizontal="right" vertical="center"/>
    </xf>
    <xf numFmtId="3" fontId="15" fillId="0" borderId="37" xfId="0" applyNumberFormat="1" applyFont="1" applyBorder="1" applyAlignment="1">
      <alignment horizontal="right" vertical="center"/>
    </xf>
    <xf numFmtId="0" fontId="15" fillId="0" borderId="33" xfId="0" applyFont="1" applyBorder="1" applyAlignment="1">
      <alignment horizontal="center" vertical="center"/>
    </xf>
    <xf numFmtId="49" fontId="15" fillId="0" borderId="40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 wrapText="1"/>
    </xf>
    <xf numFmtId="3" fontId="19" fillId="0" borderId="45" xfId="0" applyNumberFormat="1" applyFont="1" applyBorder="1" applyAlignment="1">
      <alignment horizontal="right" vertical="center"/>
    </xf>
    <xf numFmtId="3" fontId="35" fillId="0" borderId="29" xfId="0" applyNumberFormat="1" applyFont="1" applyBorder="1" applyAlignment="1">
      <alignment horizontal="right" vertical="center"/>
    </xf>
    <xf numFmtId="3" fontId="19" fillId="0" borderId="22" xfId="0" applyNumberFormat="1" applyFont="1" applyBorder="1" applyAlignment="1">
      <alignment vertical="center"/>
    </xf>
    <xf numFmtId="3" fontId="19" fillId="0" borderId="28" xfId="0" applyNumberFormat="1" applyFont="1" applyBorder="1" applyAlignment="1">
      <alignment vertical="center"/>
    </xf>
    <xf numFmtId="3" fontId="19" fillId="0" borderId="64" xfId="0" applyNumberFormat="1" applyFont="1" applyBorder="1" applyAlignment="1">
      <alignment vertical="center"/>
    </xf>
    <xf numFmtId="3" fontId="19" fillId="0" borderId="65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3" fontId="19" fillId="0" borderId="64" xfId="0" applyNumberFormat="1" applyFont="1" applyBorder="1" applyAlignment="1">
      <alignment horizontal="right" vertical="center"/>
    </xf>
    <xf numFmtId="3" fontId="19" fillId="0" borderId="71" xfId="0" applyNumberFormat="1" applyFont="1" applyBorder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28" xfId="0" applyNumberFormat="1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center" vertical="center" wrapText="1"/>
    </xf>
    <xf numFmtId="3" fontId="19" fillId="0" borderId="26" xfId="0" applyNumberFormat="1" applyFont="1" applyBorder="1" applyAlignment="1">
      <alignment vertical="center"/>
    </xf>
    <xf numFmtId="3" fontId="16" fillId="0" borderId="29" xfId="0" applyNumberFormat="1" applyFont="1" applyBorder="1" applyAlignment="1">
      <alignment horizontal="right" vertical="center"/>
    </xf>
    <xf numFmtId="3" fontId="15" fillId="0" borderId="23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64" xfId="0" applyNumberFormat="1" applyFont="1" applyBorder="1" applyAlignment="1">
      <alignment vertical="center"/>
    </xf>
    <xf numFmtId="3" fontId="15" fillId="0" borderId="65" xfId="0" applyNumberFormat="1" applyFont="1" applyBorder="1" applyAlignment="1">
      <alignment vertical="center"/>
    </xf>
    <xf numFmtId="3" fontId="15" fillId="0" borderId="64" xfId="0" applyNumberFormat="1" applyFont="1" applyBorder="1" applyAlignment="1">
      <alignment horizontal="right" vertical="center"/>
    </xf>
    <xf numFmtId="3" fontId="15" fillId="0" borderId="71" xfId="0" applyNumberFormat="1" applyFont="1" applyBorder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5" fillId="0" borderId="28" xfId="0" applyNumberFormat="1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center" vertical="center" wrapText="1"/>
    </xf>
    <xf numFmtId="3" fontId="35" fillId="0" borderId="32" xfId="0" applyNumberFormat="1" applyFont="1" applyBorder="1" applyAlignment="1">
      <alignment horizontal="right" vertical="center"/>
    </xf>
    <xf numFmtId="3" fontId="19" fillId="0" borderId="37" xfId="0" applyNumberFormat="1" applyFont="1" applyBorder="1" applyAlignment="1">
      <alignment vertical="center"/>
    </xf>
    <xf numFmtId="3" fontId="19" fillId="0" borderId="47" xfId="0" applyNumberFormat="1" applyFont="1" applyBorder="1" applyAlignment="1">
      <alignment vertical="center"/>
    </xf>
    <xf numFmtId="3" fontId="19" fillId="0" borderId="20" xfId="0" applyNumberFormat="1" applyFont="1" applyBorder="1" applyAlignment="1">
      <alignment vertical="center"/>
    </xf>
    <xf numFmtId="0" fontId="19" fillId="0" borderId="26" xfId="0" applyFont="1" applyBorder="1" applyAlignment="1">
      <alignment horizontal="center" vertical="center"/>
    </xf>
    <xf numFmtId="49" fontId="19" fillId="0" borderId="37" xfId="0" applyNumberFormat="1" applyFont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3" fontId="35" fillId="0" borderId="24" xfId="0" applyNumberFormat="1" applyFont="1" applyBorder="1" applyAlignment="1">
      <alignment horizontal="right" vertical="center"/>
    </xf>
    <xf numFmtId="3" fontId="19" fillId="0" borderId="23" xfId="0" applyNumberFormat="1" applyFont="1" applyBorder="1" applyAlignment="1">
      <alignment vertical="center"/>
    </xf>
    <xf numFmtId="3" fontId="19" fillId="0" borderId="27" xfId="0" applyNumberFormat="1" applyFont="1" applyBorder="1" applyAlignment="1">
      <alignment vertical="center"/>
    </xf>
    <xf numFmtId="3" fontId="19" fillId="0" borderId="58" xfId="0" applyNumberFormat="1" applyFont="1" applyBorder="1" applyAlignment="1">
      <alignment vertical="center"/>
    </xf>
    <xf numFmtId="3" fontId="19" fillId="0" borderId="21" xfId="0" applyNumberFormat="1" applyFont="1" applyBorder="1" applyAlignment="1">
      <alignment vertical="center"/>
    </xf>
    <xf numFmtId="0" fontId="19" fillId="0" borderId="23" xfId="0" applyFont="1" applyBorder="1" applyAlignment="1">
      <alignment horizontal="center" vertical="center"/>
    </xf>
    <xf numFmtId="49" fontId="19" fillId="0" borderId="27" xfId="0" applyNumberFormat="1" applyFont="1" applyBorder="1" applyAlignment="1">
      <alignment horizontal="center" vertical="center"/>
    </xf>
    <xf numFmtId="49" fontId="19" fillId="0" borderId="25" xfId="0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49" fontId="11" fillId="0" borderId="14" xfId="1" applyNumberFormat="1" applyBorder="1" applyAlignment="1">
      <alignment horizontal="center" vertical="center" wrapText="1"/>
    </xf>
    <xf numFmtId="49" fontId="11" fillId="0" borderId="30" xfId="1" applyNumberFormat="1" applyBorder="1" applyAlignment="1">
      <alignment horizontal="center" vertical="center" wrapText="1"/>
    </xf>
    <xf numFmtId="3" fontId="21" fillId="0" borderId="26" xfId="0" applyNumberFormat="1" applyFont="1" applyBorder="1" applyAlignment="1">
      <alignment horizontal="right" vertical="center" wrapText="1"/>
    </xf>
    <xf numFmtId="3" fontId="20" fillId="0" borderId="26" xfId="0" applyNumberFormat="1" applyFont="1" applyBorder="1" applyAlignment="1">
      <alignment vertical="center" wrapText="1"/>
    </xf>
    <xf numFmtId="3" fontId="20" fillId="0" borderId="31" xfId="0" applyNumberFormat="1" applyFont="1" applyBorder="1" applyAlignment="1">
      <alignment vertical="center" wrapText="1"/>
    </xf>
    <xf numFmtId="3" fontId="20" fillId="0" borderId="47" xfId="0" applyNumberFormat="1" applyFont="1" applyBorder="1" applyAlignment="1">
      <alignment vertical="center" wrapText="1"/>
    </xf>
    <xf numFmtId="3" fontId="20" fillId="0" borderId="20" xfId="0" applyNumberFormat="1" applyFont="1" applyBorder="1" applyAlignment="1">
      <alignment vertical="center" wrapText="1"/>
    </xf>
    <xf numFmtId="3" fontId="20" fillId="0" borderId="32" xfId="1" applyNumberFormat="1" applyFont="1" applyBorder="1" applyAlignment="1">
      <alignment vertical="center" wrapText="1"/>
    </xf>
    <xf numFmtId="3" fontId="20" fillId="0" borderId="47" xfId="0" applyNumberFormat="1" applyFont="1" applyBorder="1" applyAlignment="1">
      <alignment horizontal="right" vertical="center" wrapText="1"/>
    </xf>
    <xf numFmtId="3" fontId="20" fillId="0" borderId="32" xfId="0" applyNumberFormat="1" applyFont="1" applyBorder="1" applyAlignment="1">
      <alignment horizontal="right" vertical="center" wrapText="1"/>
    </xf>
    <xf numFmtId="3" fontId="20" fillId="0" borderId="26" xfId="0" applyNumberFormat="1" applyFont="1" applyBorder="1" applyAlignment="1">
      <alignment horizontal="center" vertical="center" wrapText="1"/>
    </xf>
    <xf numFmtId="49" fontId="20" fillId="0" borderId="31" xfId="0" applyNumberFormat="1" applyFont="1" applyBorder="1" applyAlignment="1">
      <alignment horizontal="center" vertical="center" wrapText="1"/>
    </xf>
    <xf numFmtId="49" fontId="11" fillId="0" borderId="13" xfId="1" applyNumberForma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/>
    </xf>
    <xf numFmtId="3" fontId="15" fillId="0" borderId="58" xfId="0" applyNumberFormat="1" applyFont="1" applyBorder="1" applyAlignment="1">
      <alignment vertical="center"/>
    </xf>
    <xf numFmtId="3" fontId="15" fillId="0" borderId="21" xfId="0" applyNumberFormat="1" applyFont="1" applyBorder="1" applyAlignment="1">
      <alignment vertical="center"/>
    </xf>
    <xf numFmtId="3" fontId="15" fillId="0" borderId="27" xfId="0" applyNumberFormat="1" applyFont="1" applyBorder="1" applyAlignment="1">
      <alignment vertical="center"/>
    </xf>
    <xf numFmtId="3" fontId="15" fillId="0" borderId="24" xfId="0" applyNumberFormat="1" applyFont="1" applyBorder="1" applyAlignment="1">
      <alignment horizontal="right" vertical="center"/>
    </xf>
    <xf numFmtId="0" fontId="15" fillId="0" borderId="23" xfId="0" applyFont="1" applyBorder="1" applyAlignment="1">
      <alignment horizontal="center" vertical="center"/>
    </xf>
    <xf numFmtId="49" fontId="15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43" fillId="0" borderId="23" xfId="0" applyFont="1" applyBorder="1" applyAlignment="1">
      <alignment horizontal="center" vertical="center"/>
    </xf>
    <xf numFmtId="3" fontId="44" fillId="0" borderId="23" xfId="0" applyNumberFormat="1" applyFont="1" applyBorder="1" applyAlignment="1">
      <alignment vertical="center"/>
    </xf>
    <xf numFmtId="3" fontId="19" fillId="0" borderId="24" xfId="0" applyNumberFormat="1" applyFont="1" applyBorder="1" applyAlignment="1">
      <alignment horizontal="right" vertical="center"/>
    </xf>
    <xf numFmtId="0" fontId="19" fillId="0" borderId="25" xfId="0" applyFont="1" applyBorder="1" applyAlignment="1">
      <alignment horizontal="center" vertical="center"/>
    </xf>
    <xf numFmtId="0" fontId="44" fillId="0" borderId="23" xfId="0" applyFont="1" applyBorder="1" applyAlignment="1">
      <alignment horizontal="center" vertical="center"/>
    </xf>
    <xf numFmtId="3" fontId="19" fillId="0" borderId="32" xfId="0" applyNumberFormat="1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3" fontId="15" fillId="0" borderId="24" xfId="0" applyNumberFormat="1" applyFont="1" applyBorder="1" applyAlignment="1">
      <alignment vertical="center"/>
    </xf>
    <xf numFmtId="3" fontId="15" fillId="0" borderId="27" xfId="0" applyNumberFormat="1" applyFont="1" applyBorder="1" applyAlignment="1">
      <alignment horizontal="right" vertical="center"/>
    </xf>
    <xf numFmtId="49" fontId="19" fillId="0" borderId="26" xfId="0" applyNumberFormat="1" applyFont="1" applyBorder="1" applyAlignment="1">
      <alignment horizontal="center" vertical="center"/>
    </xf>
    <xf numFmtId="3" fontId="15" fillId="0" borderId="26" xfId="0" applyNumberFormat="1" applyFont="1" applyBorder="1" applyAlignment="1">
      <alignment vertical="center"/>
    </xf>
    <xf numFmtId="3" fontId="15" fillId="0" borderId="32" xfId="0" applyNumberFormat="1" applyFont="1" applyBorder="1" applyAlignment="1">
      <alignment vertical="center"/>
    </xf>
    <xf numFmtId="3" fontId="15" fillId="0" borderId="47" xfId="0" applyNumberFormat="1" applyFont="1" applyBorder="1" applyAlignment="1">
      <alignment vertical="center"/>
    </xf>
    <xf numFmtId="3" fontId="15" fillId="0" borderId="20" xfId="0" applyNumberFormat="1" applyFont="1" applyBorder="1" applyAlignment="1">
      <alignment vertical="center"/>
    </xf>
    <xf numFmtId="0" fontId="15" fillId="0" borderId="26" xfId="0" applyFont="1" applyBorder="1" applyAlignment="1">
      <alignment horizontal="center" vertical="center"/>
    </xf>
    <xf numFmtId="49" fontId="15" fillId="0" borderId="31" xfId="0" applyNumberFormat="1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1" fillId="0" borderId="72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/>
    </xf>
    <xf numFmtId="3" fontId="35" fillId="15" borderId="24" xfId="0" applyNumberFormat="1" applyFont="1" applyFill="1" applyBorder="1" applyAlignment="1">
      <alignment horizontal="right" vertical="center" wrapText="1"/>
    </xf>
    <xf numFmtId="3" fontId="13" fillId="4" borderId="29" xfId="0" applyNumberFormat="1" applyFont="1" applyFill="1" applyBorder="1" applyAlignment="1">
      <alignment horizontal="right" vertical="center" wrapText="1"/>
    </xf>
    <xf numFmtId="3" fontId="13" fillId="4" borderId="32" xfId="0" applyNumberFormat="1" applyFont="1" applyFill="1" applyBorder="1" applyAlignment="1">
      <alignment horizontal="right" vertical="center" wrapText="1"/>
    </xf>
    <xf numFmtId="3" fontId="22" fillId="4" borderId="24" xfId="0" applyNumberFormat="1" applyFont="1" applyFill="1" applyBorder="1" applyAlignment="1">
      <alignment horizontal="center" vertical="center" wrapText="1"/>
    </xf>
    <xf numFmtId="49" fontId="22" fillId="4" borderId="25" xfId="0" applyNumberFormat="1" applyFont="1" applyFill="1" applyBorder="1" applyAlignment="1">
      <alignment horizontal="center" vertical="center" wrapText="1"/>
    </xf>
    <xf numFmtId="3" fontId="22" fillId="4" borderId="32" xfId="0" applyNumberFormat="1" applyFont="1" applyFill="1" applyBorder="1" applyAlignment="1">
      <alignment horizontal="center" vertical="center" wrapText="1"/>
    </xf>
    <xf numFmtId="49" fontId="22" fillId="4" borderId="31" xfId="0" applyNumberFormat="1" applyFont="1" applyFill="1" applyBorder="1" applyAlignment="1">
      <alignment horizontal="center" vertical="center" wrapText="1"/>
    </xf>
    <xf numFmtId="49" fontId="11" fillId="4" borderId="27" xfId="0" applyNumberFormat="1" applyFont="1" applyFill="1" applyBorder="1" applyAlignment="1">
      <alignment horizontal="center" vertical="center" wrapText="1"/>
    </xf>
    <xf numFmtId="49" fontId="11" fillId="4" borderId="37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center" shrinkToFit="1"/>
    </xf>
    <xf numFmtId="0" fontId="14" fillId="4" borderId="8" xfId="1" applyFont="1" applyFill="1" applyBorder="1" applyAlignment="1">
      <alignment horizontal="center" vertical="center" wrapText="1"/>
    </xf>
    <xf numFmtId="0" fontId="11" fillId="4" borderId="9" xfId="1" applyFill="1" applyBorder="1" applyAlignment="1">
      <alignment horizontal="center" vertical="center" wrapText="1"/>
    </xf>
    <xf numFmtId="0" fontId="11" fillId="4" borderId="2" xfId="1" applyFill="1" applyBorder="1" applyAlignment="1">
      <alignment horizontal="center" vertical="center" wrapText="1"/>
    </xf>
    <xf numFmtId="3" fontId="13" fillId="4" borderId="2" xfId="1" applyNumberFormat="1" applyFont="1" applyFill="1" applyBorder="1" applyAlignment="1">
      <alignment vertical="center"/>
    </xf>
    <xf numFmtId="3" fontId="13" fillId="4" borderId="4" xfId="1" applyNumberFormat="1" applyFont="1" applyFill="1" applyBorder="1" applyAlignment="1">
      <alignment vertical="center"/>
    </xf>
    <xf numFmtId="3" fontId="11" fillId="4" borderId="62" xfId="1" applyNumberFormat="1" applyFill="1" applyBorder="1" applyAlignment="1">
      <alignment vertical="center"/>
    </xf>
    <xf numFmtId="3" fontId="11" fillId="4" borderId="46" xfId="1" applyNumberFormat="1" applyFill="1" applyBorder="1" applyAlignment="1">
      <alignment vertical="center"/>
    </xf>
    <xf numFmtId="3" fontId="11" fillId="4" borderId="50" xfId="0" applyNumberFormat="1" applyFont="1" applyFill="1" applyBorder="1" applyAlignment="1">
      <alignment vertical="center"/>
    </xf>
    <xf numFmtId="3" fontId="11" fillId="4" borderId="2" xfId="0" applyNumberFormat="1" applyFont="1" applyFill="1" applyBorder="1" applyAlignment="1">
      <alignment horizontal="right" vertical="center"/>
    </xf>
    <xf numFmtId="3" fontId="13" fillId="4" borderId="9" xfId="0" applyNumberFormat="1" applyFont="1" applyFill="1" applyBorder="1" applyAlignment="1">
      <alignment horizontal="right" vertical="center"/>
    </xf>
    <xf numFmtId="3" fontId="11" fillId="4" borderId="2" xfId="0" applyNumberFormat="1" applyFont="1" applyFill="1" applyBorder="1" applyAlignment="1">
      <alignment vertical="center"/>
    </xf>
    <xf numFmtId="3" fontId="11" fillId="4" borderId="8" xfId="0" applyNumberFormat="1" applyFont="1" applyFill="1" applyBorder="1" applyAlignment="1">
      <alignment vertical="center"/>
    </xf>
    <xf numFmtId="3" fontId="11" fillId="4" borderId="62" xfId="0" applyNumberFormat="1" applyFont="1" applyFill="1" applyBorder="1" applyAlignment="1">
      <alignment horizontal="right" vertical="center"/>
    </xf>
    <xf numFmtId="3" fontId="11" fillId="4" borderId="53" xfId="0" applyNumberFormat="1" applyFont="1" applyFill="1" applyBorder="1" applyAlignment="1">
      <alignment horizontal="right" vertical="center"/>
    </xf>
    <xf numFmtId="3" fontId="11" fillId="4" borderId="8" xfId="0" applyNumberFormat="1" applyFont="1" applyFill="1" applyBorder="1" applyAlignment="1">
      <alignment horizontal="right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8" xfId="0" applyNumberFormat="1" applyFont="1" applyFill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/>
    </xf>
    <xf numFmtId="0" fontId="37" fillId="7" borderId="30" xfId="0" applyFont="1" applyFill="1" applyBorder="1" applyAlignment="1">
      <alignment wrapText="1"/>
    </xf>
    <xf numFmtId="49" fontId="13" fillId="10" borderId="2" xfId="0" applyNumberFormat="1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 wrapText="1" shrinkToFit="1"/>
    </xf>
    <xf numFmtId="0" fontId="14" fillId="4" borderId="8" xfId="0" applyFont="1" applyFill="1" applyBorder="1" applyAlignment="1">
      <alignment horizontal="center" vertical="center" wrapText="1"/>
    </xf>
    <xf numFmtId="3" fontId="11" fillId="4" borderId="4" xfId="1" applyNumberFormat="1" applyFill="1" applyBorder="1" applyAlignment="1">
      <alignment horizontal="right" vertical="center" wrapText="1"/>
    </xf>
    <xf numFmtId="3" fontId="11" fillId="4" borderId="62" xfId="1" applyNumberFormat="1" applyFill="1" applyBorder="1" applyAlignment="1">
      <alignment horizontal="right" vertical="center" wrapText="1"/>
    </xf>
    <xf numFmtId="3" fontId="11" fillId="4" borderId="46" xfId="1" applyNumberFormat="1" applyFill="1" applyBorder="1" applyAlignment="1">
      <alignment horizontal="right" vertical="center" wrapText="1"/>
    </xf>
    <xf numFmtId="3" fontId="11" fillId="4" borderId="8" xfId="0" applyNumberFormat="1" applyFont="1" applyFill="1" applyBorder="1" applyAlignment="1">
      <alignment horizontal="right" vertical="center" wrapText="1"/>
    </xf>
    <xf numFmtId="3" fontId="11" fillId="4" borderId="4" xfId="0" applyNumberFormat="1" applyFont="1" applyFill="1" applyBorder="1" applyAlignment="1">
      <alignment horizontal="right" vertical="center" wrapText="1"/>
    </xf>
    <xf numFmtId="49" fontId="11" fillId="4" borderId="8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3" fontId="11" fillId="4" borderId="21" xfId="0" applyNumberFormat="1" applyFont="1" applyFill="1" applyBorder="1" applyAlignment="1">
      <alignment horizontal="right" vertical="center" wrapText="1"/>
    </xf>
    <xf numFmtId="49" fontId="35" fillId="2" borderId="33" xfId="0" applyNumberFormat="1" applyFont="1" applyFill="1" applyBorder="1" applyAlignment="1">
      <alignment horizontal="center" vertical="center"/>
    </xf>
    <xf numFmtId="49" fontId="35" fillId="2" borderId="33" xfId="0" applyNumberFormat="1" applyFont="1" applyFill="1" applyBorder="1" applyAlignment="1">
      <alignment horizontal="center" vertical="center" shrinkToFit="1"/>
    </xf>
    <xf numFmtId="0" fontId="38" fillId="2" borderId="40" xfId="1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33" xfId="1" applyFont="1" applyFill="1" applyBorder="1" applyAlignment="1">
      <alignment horizontal="center" vertical="center" wrapText="1"/>
    </xf>
    <xf numFmtId="3" fontId="35" fillId="2" borderId="33" xfId="1" applyNumberFormat="1" applyFont="1" applyFill="1" applyBorder="1" applyAlignment="1">
      <alignment vertical="center"/>
    </xf>
    <xf numFmtId="3" fontId="35" fillId="2" borderId="34" xfId="1" applyNumberFormat="1" applyFont="1" applyFill="1" applyBorder="1" applyAlignment="1">
      <alignment vertical="center"/>
    </xf>
    <xf numFmtId="3" fontId="19" fillId="2" borderId="49" xfId="1" applyNumberFormat="1" applyFont="1" applyFill="1" applyBorder="1" applyAlignment="1">
      <alignment vertical="center"/>
    </xf>
    <xf numFmtId="3" fontId="19" fillId="2" borderId="76" xfId="1" applyNumberFormat="1" applyFont="1" applyFill="1" applyBorder="1" applyAlignment="1">
      <alignment vertical="center"/>
    </xf>
    <xf numFmtId="3" fontId="19" fillId="2" borderId="70" xfId="0" applyNumberFormat="1" applyFont="1" applyFill="1" applyBorder="1" applyAlignment="1">
      <alignment vertical="center"/>
    </xf>
    <xf numFmtId="3" fontId="19" fillId="2" borderId="59" xfId="0" applyNumberFormat="1" applyFont="1" applyFill="1" applyBorder="1" applyAlignment="1">
      <alignment vertical="center"/>
    </xf>
    <xf numFmtId="3" fontId="19" fillId="2" borderId="33" xfId="0" applyNumberFormat="1" applyFont="1" applyFill="1" applyBorder="1" applyAlignment="1">
      <alignment horizontal="right" vertical="center"/>
    </xf>
    <xf numFmtId="3" fontId="35" fillId="2" borderId="35" xfId="0" applyNumberFormat="1" applyFont="1" applyFill="1" applyBorder="1" applyAlignment="1">
      <alignment horizontal="right" vertical="center"/>
    </xf>
    <xf numFmtId="3" fontId="19" fillId="2" borderId="26" xfId="0" applyNumberFormat="1" applyFont="1" applyFill="1" applyBorder="1" applyAlignment="1">
      <alignment vertical="center"/>
    </xf>
    <xf numFmtId="3" fontId="19" fillId="2" borderId="40" xfId="0" applyNumberFormat="1" applyFont="1" applyFill="1" applyBorder="1" applyAlignment="1">
      <alignment vertical="center"/>
    </xf>
    <xf numFmtId="3" fontId="19" fillId="2" borderId="49" xfId="0" applyNumberFormat="1" applyFont="1" applyFill="1" applyBorder="1" applyAlignment="1">
      <alignment vertical="center"/>
    </xf>
    <xf numFmtId="3" fontId="19" fillId="2" borderId="43" xfId="0" applyNumberFormat="1" applyFont="1" applyFill="1" applyBorder="1" applyAlignment="1">
      <alignment vertical="center"/>
    </xf>
    <xf numFmtId="3" fontId="19" fillId="2" borderId="49" xfId="0" applyNumberFormat="1" applyFont="1" applyFill="1" applyBorder="1" applyAlignment="1">
      <alignment horizontal="right" vertical="center"/>
    </xf>
    <xf numFmtId="3" fontId="19" fillId="2" borderId="70" xfId="0" applyNumberFormat="1" applyFont="1" applyFill="1" applyBorder="1" applyAlignment="1">
      <alignment horizontal="right" vertical="center"/>
    </xf>
    <xf numFmtId="3" fontId="19" fillId="2" borderId="40" xfId="0" applyNumberFormat="1" applyFont="1" applyFill="1" applyBorder="1" applyAlignment="1">
      <alignment horizontal="right" vertical="center"/>
    </xf>
    <xf numFmtId="0" fontId="19" fillId="2" borderId="33" xfId="0" applyFont="1" applyFill="1" applyBorder="1" applyAlignment="1">
      <alignment horizontal="center" vertical="center"/>
    </xf>
    <xf numFmtId="49" fontId="19" fillId="2" borderId="40" xfId="0" applyNumberFormat="1" applyFont="1" applyFill="1" applyBorder="1" applyAlignment="1">
      <alignment horizontal="center" vertical="center"/>
    </xf>
    <xf numFmtId="49" fontId="19" fillId="2" borderId="34" xfId="0" applyNumberFormat="1" applyFont="1" applyFill="1" applyBorder="1" applyAlignment="1">
      <alignment horizontal="center" vertical="center"/>
    </xf>
    <xf numFmtId="49" fontId="19" fillId="2" borderId="33" xfId="0" applyNumberFormat="1" applyFont="1" applyFill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3" fontId="19" fillId="0" borderId="45" xfId="0" applyNumberFormat="1" applyFont="1" applyBorder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/>
    </xf>
    <xf numFmtId="3" fontId="35" fillId="0" borderId="13" xfId="0" applyNumberFormat="1" applyFont="1" applyBorder="1" applyAlignment="1">
      <alignment horizontal="right" vertical="center"/>
    </xf>
    <xf numFmtId="3" fontId="35" fillId="3" borderId="13" xfId="0" applyNumberFormat="1" applyFont="1" applyFill="1" applyBorder="1" applyAlignment="1">
      <alignment horizontal="right" vertical="center" wrapText="1"/>
    </xf>
    <xf numFmtId="49" fontId="14" fillId="4" borderId="28" xfId="0" applyNumberFormat="1" applyFont="1" applyFill="1" applyBorder="1" applyAlignment="1">
      <alignment horizontal="center" vertical="center" wrapText="1"/>
    </xf>
    <xf numFmtId="3" fontId="13" fillId="4" borderId="22" xfId="1" applyNumberFormat="1" applyFont="1" applyFill="1" applyBorder="1" applyAlignment="1">
      <alignment vertical="center" wrapText="1"/>
    </xf>
    <xf numFmtId="3" fontId="11" fillId="4" borderId="0" xfId="1" applyNumberFormat="1" applyFill="1" applyAlignment="1">
      <alignment horizontal="right" vertical="center" wrapText="1"/>
    </xf>
    <xf numFmtId="3" fontId="11" fillId="4" borderId="59" xfId="0" applyNumberFormat="1" applyFont="1" applyFill="1" applyBorder="1" applyAlignment="1">
      <alignment horizontal="right" vertical="center" wrapText="1"/>
    </xf>
    <xf numFmtId="3" fontId="11" fillId="4" borderId="70" xfId="0" applyNumberFormat="1" applyFont="1" applyFill="1" applyBorder="1" applyAlignment="1">
      <alignment horizontal="right" vertical="center" wrapText="1"/>
    </xf>
    <xf numFmtId="3" fontId="11" fillId="4" borderId="40" xfId="0" applyNumberFormat="1" applyFont="1" applyFill="1" applyBorder="1" applyAlignment="1">
      <alignment horizontal="right" vertical="center" wrapText="1"/>
    </xf>
    <xf numFmtId="3" fontId="11" fillId="4" borderId="49" xfId="0" applyNumberFormat="1" applyFont="1" applyFill="1" applyBorder="1" applyAlignment="1">
      <alignment horizontal="right" vertical="center" wrapText="1"/>
    </xf>
    <xf numFmtId="3" fontId="11" fillId="4" borderId="43" xfId="0" applyNumberFormat="1" applyFont="1" applyFill="1" applyBorder="1" applyAlignment="1">
      <alignment horizontal="right" vertical="center" wrapText="1"/>
    </xf>
    <xf numFmtId="2" fontId="11" fillId="4" borderId="22" xfId="0" applyNumberFormat="1" applyFont="1" applyFill="1" applyBorder="1" applyAlignment="1">
      <alignment horizontal="center" vertical="center" wrapText="1"/>
    </xf>
    <xf numFmtId="49" fontId="11" fillId="4" borderId="28" xfId="0" applyNumberFormat="1" applyFont="1" applyFill="1" applyBorder="1" applyAlignment="1">
      <alignment horizontal="center" vertical="center" wrapText="1"/>
    </xf>
    <xf numFmtId="0" fontId="11" fillId="4" borderId="33" xfId="1" applyFill="1" applyBorder="1" applyAlignment="1">
      <alignment horizontal="center" vertical="center" wrapText="1"/>
    </xf>
    <xf numFmtId="0" fontId="38" fillId="0" borderId="37" xfId="0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/>
    </xf>
    <xf numFmtId="49" fontId="35" fillId="0" borderId="14" xfId="0" applyNumberFormat="1" applyFont="1" applyBorder="1" applyAlignment="1">
      <alignment horizontal="center" vertical="center" wrapText="1"/>
    </xf>
    <xf numFmtId="49" fontId="35" fillId="0" borderId="30" xfId="0" applyNumberFormat="1" applyFont="1" applyBorder="1" applyAlignment="1">
      <alignment horizontal="center" vertical="center" wrapText="1" shrinkToFit="1"/>
    </xf>
    <xf numFmtId="0" fontId="38" fillId="0" borderId="30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3" fontId="35" fillId="0" borderId="14" xfId="1" applyNumberFormat="1" applyFont="1" applyBorder="1" applyAlignment="1">
      <alignment vertical="center" wrapText="1"/>
    </xf>
    <xf numFmtId="3" fontId="35" fillId="0" borderId="30" xfId="1" applyNumberFormat="1" applyFont="1" applyBorder="1" applyAlignment="1">
      <alignment vertical="center" wrapText="1"/>
    </xf>
    <xf numFmtId="3" fontId="19" fillId="0" borderId="68" xfId="1" applyNumberFormat="1" applyFont="1" applyBorder="1" applyAlignment="1">
      <alignment vertical="center" wrapText="1"/>
    </xf>
    <xf numFmtId="3" fontId="19" fillId="0" borderId="52" xfId="1" applyNumberFormat="1" applyFont="1" applyBorder="1" applyAlignment="1">
      <alignment vertical="center" wrapText="1"/>
    </xf>
    <xf numFmtId="3" fontId="19" fillId="0" borderId="72" xfId="0" applyNumberFormat="1" applyFont="1" applyBorder="1" applyAlignment="1">
      <alignment vertical="center" wrapText="1"/>
    </xf>
    <xf numFmtId="3" fontId="19" fillId="0" borderId="74" xfId="0" applyNumberFormat="1" applyFont="1" applyBorder="1" applyAlignment="1">
      <alignment vertical="center" wrapText="1"/>
    </xf>
    <xf numFmtId="3" fontId="19" fillId="0" borderId="14" xfId="0" applyNumberFormat="1" applyFont="1" applyBorder="1" applyAlignment="1">
      <alignment horizontal="right" vertical="center" wrapText="1"/>
    </xf>
    <xf numFmtId="3" fontId="35" fillId="3" borderId="1" xfId="0" applyNumberFormat="1" applyFont="1" applyFill="1" applyBorder="1" applyAlignment="1">
      <alignment horizontal="right" vertical="center" wrapText="1"/>
    </xf>
    <xf numFmtId="3" fontId="35" fillId="0" borderId="14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68" xfId="0" applyNumberFormat="1" applyFont="1" applyBorder="1" applyAlignment="1">
      <alignment vertical="center" wrapText="1"/>
    </xf>
    <xf numFmtId="3" fontId="19" fillId="0" borderId="69" xfId="0" applyNumberFormat="1" applyFont="1" applyBorder="1" applyAlignment="1">
      <alignment vertical="center" wrapText="1"/>
    </xf>
    <xf numFmtId="3" fontId="19" fillId="0" borderId="1" xfId="1" applyNumberFormat="1" applyFont="1" applyBorder="1" applyAlignment="1">
      <alignment vertical="center" wrapText="1"/>
    </xf>
    <xf numFmtId="3" fontId="19" fillId="0" borderId="68" xfId="0" applyNumberFormat="1" applyFont="1" applyBorder="1" applyAlignment="1">
      <alignment horizontal="right" vertical="center" wrapText="1"/>
    </xf>
    <xf numFmtId="3" fontId="19" fillId="0" borderId="72" xfId="0" applyNumberFormat="1" applyFont="1" applyBorder="1" applyAlignment="1">
      <alignment horizontal="right" vertical="center" wrapText="1"/>
    </xf>
    <xf numFmtId="3" fontId="19" fillId="0" borderId="16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0" fontId="14" fillId="5" borderId="2" xfId="1" applyFont="1" applyFill="1" applyBorder="1" applyAlignment="1">
      <alignment horizontal="center" vertical="center" wrapText="1"/>
    </xf>
    <xf numFmtId="0" fontId="14" fillId="5" borderId="13" xfId="1" applyFont="1" applyFill="1" applyBorder="1" applyAlignment="1">
      <alignment horizontal="center" vertical="center" wrapText="1"/>
    </xf>
    <xf numFmtId="49" fontId="13" fillId="4" borderId="31" xfId="0" applyNumberFormat="1" applyFont="1" applyFill="1" applyBorder="1" applyAlignment="1">
      <alignment horizontal="center" vertical="center"/>
    </xf>
    <xf numFmtId="49" fontId="13" fillId="4" borderId="32" xfId="0" applyNumberFormat="1" applyFont="1" applyFill="1" applyBorder="1" applyAlignment="1">
      <alignment horizontal="center" vertical="center"/>
    </xf>
    <xf numFmtId="49" fontId="16" fillId="0" borderId="31" xfId="0" applyNumberFormat="1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left" vertical="center" wrapText="1"/>
    </xf>
    <xf numFmtId="1" fontId="23" fillId="5" borderId="5" xfId="1" applyNumberFormat="1" applyFont="1" applyFill="1" applyBorder="1" applyAlignment="1">
      <alignment horizontal="left" vertical="center" wrapText="1"/>
    </xf>
    <xf numFmtId="49" fontId="21" fillId="0" borderId="31" xfId="0" applyNumberFormat="1" applyFont="1" applyBorder="1" applyAlignment="1">
      <alignment horizontal="center" vertical="center" wrapText="1"/>
    </xf>
    <xf numFmtId="49" fontId="21" fillId="0" borderId="3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4" borderId="31" xfId="0" applyNumberFormat="1" applyFont="1" applyFill="1" applyBorder="1" applyAlignment="1">
      <alignment horizontal="center" vertical="center" wrapText="1"/>
    </xf>
    <xf numFmtId="49" fontId="13" fillId="4" borderId="37" xfId="0" applyNumberFormat="1" applyFont="1" applyFill="1" applyBorder="1" applyAlignment="1">
      <alignment horizontal="center" vertical="center" wrapText="1"/>
    </xf>
    <xf numFmtId="49" fontId="13" fillId="4" borderId="32" xfId="0" applyNumberFormat="1" applyFont="1" applyFill="1" applyBorder="1" applyAlignment="1">
      <alignment horizontal="center" vertical="center" wrapText="1"/>
    </xf>
    <xf numFmtId="49" fontId="16" fillId="0" borderId="37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49" fontId="18" fillId="0" borderId="37" xfId="0" applyNumberFormat="1" applyFont="1" applyBorder="1" applyAlignment="1">
      <alignment horizontal="center" vertical="center" wrapText="1"/>
    </xf>
    <xf numFmtId="49" fontId="18" fillId="0" borderId="32" xfId="0" applyNumberFormat="1" applyFont="1" applyBorder="1" applyAlignment="1">
      <alignment horizontal="center" vertical="center" wrapText="1"/>
    </xf>
    <xf numFmtId="49" fontId="13" fillId="2" borderId="15" xfId="0" applyNumberFormat="1" applyFont="1" applyFill="1" applyBorder="1" applyAlignment="1">
      <alignment horizontal="center" vertical="center" wrapText="1"/>
    </xf>
    <xf numFmtId="49" fontId="13" fillId="2" borderId="19" xfId="0" applyNumberFormat="1" applyFont="1" applyFill="1" applyBorder="1" applyAlignment="1">
      <alignment horizontal="center" vertical="center" wrapText="1"/>
    </xf>
    <xf numFmtId="49" fontId="13" fillId="2" borderId="45" xfId="0" applyNumberFormat="1" applyFont="1" applyFill="1" applyBorder="1" applyAlignment="1">
      <alignment horizontal="center" vertical="center" wrapText="1"/>
    </xf>
    <xf numFmtId="4" fontId="14" fillId="13" borderId="12" xfId="0" applyNumberFormat="1" applyFont="1" applyFill="1" applyBorder="1" applyAlignment="1">
      <alignment horizontal="center" vertical="center" wrapText="1"/>
    </xf>
    <xf numFmtId="4" fontId="14" fillId="13" borderId="5" xfId="0" applyNumberFormat="1" applyFont="1" applyFill="1" applyBorder="1" applyAlignment="1">
      <alignment horizontal="center" vertical="center" wrapText="1"/>
    </xf>
    <xf numFmtId="4" fontId="14" fillId="13" borderId="6" xfId="0" applyNumberFormat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4" xfId="1" applyFont="1" applyFill="1" applyBorder="1" applyAlignment="1">
      <alignment horizontal="center" vertical="center" wrapText="1"/>
    </xf>
    <xf numFmtId="49" fontId="13" fillId="5" borderId="3" xfId="0" applyNumberFormat="1" applyFont="1" applyFill="1" applyBorder="1" applyAlignment="1">
      <alignment horizontal="center" vertical="center" wrapText="1"/>
    </xf>
    <xf numFmtId="49" fontId="13" fillId="5" borderId="14" xfId="0" applyNumberFormat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4" fontId="14" fillId="14" borderId="10" xfId="0" applyNumberFormat="1" applyFont="1" applyFill="1" applyBorder="1" applyAlignment="1">
      <alignment horizontal="center" vertical="center" wrapText="1"/>
    </xf>
    <xf numFmtId="4" fontId="14" fillId="14" borderId="7" xfId="0" applyNumberFormat="1" applyFont="1" applyFill="1" applyBorder="1" applyAlignment="1">
      <alignment horizontal="center" vertical="center" wrapText="1"/>
    </xf>
    <xf numFmtId="4" fontId="14" fillId="14" borderId="11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4" fontId="13" fillId="8" borderId="2" xfId="0" applyNumberFormat="1" applyFont="1" applyFill="1" applyBorder="1" applyAlignment="1">
      <alignment horizontal="center" vertical="center" wrapText="1"/>
    </xf>
    <xf numFmtId="4" fontId="13" fillId="8" borderId="13" xfId="0" applyNumberFormat="1" applyFont="1" applyFill="1" applyBorder="1" applyAlignment="1">
      <alignment horizontal="center" vertical="center" wrapText="1"/>
    </xf>
    <xf numFmtId="0" fontId="14" fillId="14" borderId="2" xfId="1" applyFont="1" applyFill="1" applyBorder="1" applyAlignment="1">
      <alignment horizontal="center" vertical="center" wrapText="1"/>
    </xf>
    <xf numFmtId="0" fontId="14" fillId="14" borderId="13" xfId="1" applyFont="1" applyFill="1" applyBorder="1" applyAlignment="1">
      <alignment horizontal="center" vertical="center" wrapText="1"/>
    </xf>
    <xf numFmtId="3" fontId="14" fillId="4" borderId="3" xfId="1" applyNumberFormat="1" applyFont="1" applyFill="1" applyBorder="1" applyAlignment="1">
      <alignment horizontal="center" vertical="center" wrapText="1"/>
    </xf>
    <xf numFmtId="3" fontId="14" fillId="4" borderId="14" xfId="1" applyNumberFormat="1" applyFont="1" applyFill="1" applyBorder="1" applyAlignment="1">
      <alignment horizontal="center" vertical="center" wrapText="1"/>
    </xf>
    <xf numFmtId="3" fontId="14" fillId="4" borderId="12" xfId="1" applyNumberFormat="1" applyFont="1" applyFill="1" applyBorder="1" applyAlignment="1">
      <alignment horizontal="center" vertical="center" wrapText="1"/>
    </xf>
    <xf numFmtId="3" fontId="14" fillId="4" borderId="5" xfId="1" applyNumberFormat="1" applyFont="1" applyFill="1" applyBorder="1" applyAlignment="1">
      <alignment horizontal="center" vertical="center" wrapText="1"/>
    </xf>
    <xf numFmtId="3" fontId="14" fillId="13" borderId="12" xfId="0" applyNumberFormat="1" applyFont="1" applyFill="1" applyBorder="1" applyAlignment="1">
      <alignment horizontal="center" vertical="center" wrapText="1"/>
    </xf>
    <xf numFmtId="3" fontId="14" fillId="13" borderId="5" xfId="0" applyNumberFormat="1" applyFont="1" applyFill="1" applyBorder="1" applyAlignment="1">
      <alignment horizontal="center" vertical="center" wrapText="1"/>
    </xf>
    <xf numFmtId="3" fontId="14" fillId="12" borderId="12" xfId="0" applyNumberFormat="1" applyFont="1" applyFill="1" applyBorder="1" applyAlignment="1">
      <alignment horizontal="center" vertical="center" wrapText="1"/>
    </xf>
    <xf numFmtId="3" fontId="14" fillId="12" borderId="5" xfId="0" applyNumberFormat="1" applyFont="1" applyFill="1" applyBorder="1" applyAlignment="1">
      <alignment horizontal="center" vertical="center" wrapText="1"/>
    </xf>
    <xf numFmtId="3" fontId="14" fillId="12" borderId="6" xfId="0" applyNumberFormat="1" applyFont="1" applyFill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166" fontId="14" fillId="5" borderId="3" xfId="0" applyNumberFormat="1" applyFont="1" applyFill="1" applyBorder="1" applyAlignment="1">
      <alignment horizontal="center" vertical="center" wrapText="1"/>
    </xf>
    <xf numFmtId="166" fontId="14" fillId="5" borderId="14" xfId="0" applyNumberFormat="1" applyFont="1" applyFill="1" applyBorder="1" applyAlignment="1">
      <alignment horizontal="center" vertical="center" wrapText="1"/>
    </xf>
    <xf numFmtId="166" fontId="14" fillId="5" borderId="2" xfId="0" applyNumberFormat="1" applyFont="1" applyFill="1" applyBorder="1" applyAlignment="1">
      <alignment horizontal="center" vertical="center" wrapText="1"/>
    </xf>
    <xf numFmtId="166" fontId="14" fillId="5" borderId="13" xfId="0" applyNumberFormat="1" applyFont="1" applyFill="1" applyBorder="1" applyAlignment="1">
      <alignment horizontal="center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4" fillId="5" borderId="14" xfId="1" applyFont="1" applyFill="1" applyBorder="1" applyAlignment="1">
      <alignment horizontal="center" vertical="center" wrapText="1"/>
    </xf>
    <xf numFmtId="0" fontId="13" fillId="2" borderId="0" xfId="0" applyFont="1" applyFill="1"/>
  </cellXfs>
  <cellStyles count="145">
    <cellStyle name="Čárka 2" xfId="9" xr:uid="{00000000-0005-0000-0000-000000000000}"/>
    <cellStyle name="Čárka 2 2" xfId="14" xr:uid="{00000000-0005-0000-0000-000001000000}"/>
    <cellStyle name="Čárka 2 2 2" xfId="23" xr:uid="{00000000-0005-0000-0000-000002000000}"/>
    <cellStyle name="Čárka 2 2 2 2" xfId="41" xr:uid="{00000000-0005-0000-0000-000003000000}"/>
    <cellStyle name="Čárka 2 2 2 2 2" xfId="74" xr:uid="{44E9848D-3538-4296-8A58-4563FF8B4859}"/>
    <cellStyle name="Čárka 2 2 2 2 2 2" xfId="141" xr:uid="{E2A500A6-C933-4709-9D2F-ECA9336F72B9}"/>
    <cellStyle name="Čárka 2 2 2 2 3" xfId="108" xr:uid="{B103A2CA-5996-4679-9D89-E36595BCC027}"/>
    <cellStyle name="Čárka 2 2 2 3" xfId="58" xr:uid="{A82E48F5-25A0-4D6F-8DE2-887E82A7D31F}"/>
    <cellStyle name="Čárka 2 2 2 3 2" xfId="125" xr:uid="{4788322B-566F-4027-A5D9-985F9A241D65}"/>
    <cellStyle name="Čárka 2 2 2 4" xfId="92" xr:uid="{EAF445BE-2FC8-48E5-B596-8BA746B2B568}"/>
    <cellStyle name="Čárka 2 2 3" xfId="32" xr:uid="{00000000-0005-0000-0000-000004000000}"/>
    <cellStyle name="Čárka 2 2 3 2" xfId="66" xr:uid="{192EBA57-ABFE-47BB-9037-2D9F36A2F43D}"/>
    <cellStyle name="Čárka 2 2 3 2 2" xfId="133" xr:uid="{0E97E724-A276-4CBE-B22D-4ACF84D9AE70}"/>
    <cellStyle name="Čárka 2 2 3 3" xfId="100" xr:uid="{E24B2C89-B84D-4BF2-A126-5D4E894667A7}"/>
    <cellStyle name="Čárka 2 2 4" xfId="50" xr:uid="{E5A7FAB2-8F5E-4897-9F3F-D3EFA96B4776}"/>
    <cellStyle name="Čárka 2 2 4 2" xfId="117" xr:uid="{02988991-E23F-4FB7-9E1F-FB866A543BB4}"/>
    <cellStyle name="Čárka 2 2 5" xfId="84" xr:uid="{7AB232D9-CF94-486F-B8D4-94890E7EEE24}"/>
    <cellStyle name="Čárka 2 3" xfId="8" xr:uid="{00000000-0005-0000-0000-000005000000}"/>
    <cellStyle name="Čárka 2 3 2" xfId="18" xr:uid="{00000000-0005-0000-0000-000006000000}"/>
    <cellStyle name="Čárka 2 3 2 2" xfId="36" xr:uid="{00000000-0005-0000-0000-000007000000}"/>
    <cellStyle name="Čárka 2 3 3" xfId="27" xr:uid="{00000000-0005-0000-0000-000008000000}"/>
    <cellStyle name="Čárka 2 4" xfId="19" xr:uid="{00000000-0005-0000-0000-000009000000}"/>
    <cellStyle name="Čárka 2 4 2" xfId="37" xr:uid="{00000000-0005-0000-0000-00000A000000}"/>
    <cellStyle name="Čárka 2 4 2 2" xfId="70" xr:uid="{544430E7-78B5-4A56-A3F0-4CD36E0DE0C0}"/>
    <cellStyle name="Čárka 2 4 2 2 2" xfId="137" xr:uid="{B2ED92A2-9D0C-4FDC-A9D4-5A6D856334E5}"/>
    <cellStyle name="Čárka 2 4 2 3" xfId="104" xr:uid="{CF2BF6AB-1FA2-4880-A934-DE9E53167C5D}"/>
    <cellStyle name="Čárka 2 4 3" xfId="54" xr:uid="{C00A516B-F5E0-46CC-A68B-561FE30F4D8B}"/>
    <cellStyle name="Čárka 2 4 3 2" xfId="121" xr:uid="{AF2AA504-5CB7-4E8C-82DB-02BDE7F3DA6F}"/>
    <cellStyle name="Čárka 2 4 4" xfId="88" xr:uid="{CDFE5EDF-841A-4ED3-A0F6-25EDE27C5A8C}"/>
    <cellStyle name="Čárka 2 5" xfId="28" xr:uid="{00000000-0005-0000-0000-00000B000000}"/>
    <cellStyle name="Čárka 2 5 2" xfId="62" xr:uid="{DA928A25-E6AC-4C5C-B31D-52AF61257481}"/>
    <cellStyle name="Čárka 2 5 2 2" xfId="129" xr:uid="{EF15E229-49F0-4988-84C5-36A0A6120EA7}"/>
    <cellStyle name="Čárka 2 5 3" xfId="96" xr:uid="{6CDEFCEB-16E6-4676-B223-93A4A019AE37}"/>
    <cellStyle name="Čárka 2 6" xfId="46" xr:uid="{60F0E4F2-8794-4757-BADA-464E5D714713}"/>
    <cellStyle name="Čárka 2 6 2" xfId="113" xr:uid="{BFA44EC4-3E40-4314-8BDD-EEDB75288EF9}"/>
    <cellStyle name="Čárka 2 7" xfId="80" xr:uid="{00556ED6-CBB4-41A5-A337-8384B07FB5AF}"/>
    <cellStyle name="Header" xfId="11" xr:uid="{00000000-0005-0000-0000-00000C000000}"/>
    <cellStyle name="Normální" xfId="0" builtinId="0"/>
    <cellStyle name="Normální 10" xfId="3" xr:uid="{00000000-0005-0000-0000-00000E000000}"/>
    <cellStyle name="Normální 10 2" xfId="12" xr:uid="{00000000-0005-0000-0000-00000F000000}"/>
    <cellStyle name="Normální 10 2 2" xfId="21" xr:uid="{00000000-0005-0000-0000-000010000000}"/>
    <cellStyle name="Normální 10 2 2 2" xfId="39" xr:uid="{00000000-0005-0000-0000-000011000000}"/>
    <cellStyle name="Normální 10 2 2 2 2" xfId="72" xr:uid="{72E749C9-6B03-4B27-A25D-17810209ACE1}"/>
    <cellStyle name="Normální 10 2 2 2 2 2" xfId="139" xr:uid="{445E1D1F-5CF1-43DF-9F1D-6C99DF092389}"/>
    <cellStyle name="Normální 10 2 2 2 3" xfId="106" xr:uid="{B58A53DA-D597-4EDE-955A-036D11DC38B0}"/>
    <cellStyle name="Normální 10 2 2 3" xfId="56" xr:uid="{B52FF832-B6FA-4BC0-9B09-C65906DDC91C}"/>
    <cellStyle name="Normální 10 2 2 3 2" xfId="123" xr:uid="{5599C756-EA25-4FFB-95F6-E1DDE2653A45}"/>
    <cellStyle name="Normální 10 2 2 4" xfId="90" xr:uid="{6878F149-A487-4EC6-8491-6BDACAFBD257}"/>
    <cellStyle name="Normální 10 2 3" xfId="30" xr:uid="{00000000-0005-0000-0000-000012000000}"/>
    <cellStyle name="Normální 10 2 3 2" xfId="64" xr:uid="{5A509008-965B-4E54-9CEC-2800BD40F986}"/>
    <cellStyle name="Normální 10 2 3 2 2" xfId="131" xr:uid="{1D0E0860-455E-4A9C-9212-B660DC15594A}"/>
    <cellStyle name="Normální 10 2 3 3" xfId="98" xr:uid="{AD47C564-8D16-436C-929D-6D623FA974D3}"/>
    <cellStyle name="Normální 10 2 4" xfId="48" xr:uid="{D993096D-585B-4C2C-B887-6C4B1B43733E}"/>
    <cellStyle name="Normální 10 2 4 2" xfId="115" xr:uid="{6CD955BF-08AE-4DB9-8722-6CA7A4F9AACF}"/>
    <cellStyle name="Normální 10 2 5" xfId="82" xr:uid="{99923D53-F602-49B7-912E-C375C08124F6}"/>
    <cellStyle name="Normální 10 3" xfId="16" xr:uid="{00000000-0005-0000-0000-000013000000}"/>
    <cellStyle name="Normální 10 3 2" xfId="34" xr:uid="{00000000-0005-0000-0000-000014000000}"/>
    <cellStyle name="Normální 10 3 2 2" xfId="68" xr:uid="{4799B077-6A1B-4AAF-8D57-86FB4908C525}"/>
    <cellStyle name="Normální 10 3 2 2 2" xfId="135" xr:uid="{46BF29B6-429F-461E-8123-011C2C55918D}"/>
    <cellStyle name="Normální 10 3 2 3" xfId="102" xr:uid="{D4C12F25-F032-43D0-8C1F-35F6C5195193}"/>
    <cellStyle name="Normální 10 3 3" xfId="52" xr:uid="{86B4D4DA-A102-4240-856B-3279AFEA86AE}"/>
    <cellStyle name="Normální 10 3 3 2" xfId="119" xr:uid="{B51F67E9-2F77-41A6-B36E-61F6BF8DA104}"/>
    <cellStyle name="Normální 10 3 4" xfId="86" xr:uid="{FC5121B1-3E08-4643-A514-68C9B0C0E349}"/>
    <cellStyle name="Normální 10 4" xfId="25" xr:uid="{00000000-0005-0000-0000-000015000000}"/>
    <cellStyle name="Normální 10 4 2" xfId="60" xr:uid="{97F2467B-5ED9-4B1F-B5C1-4A4A052B168B}"/>
    <cellStyle name="Normální 10 4 2 2" xfId="127" xr:uid="{EFE93B02-C9BB-4A6C-BBBF-ACF06422D185}"/>
    <cellStyle name="Normální 10 4 3" xfId="94" xr:uid="{AEA5D094-02FC-44CC-A7ED-362AA7E4974E}"/>
    <cellStyle name="Normální 10 5" xfId="44" xr:uid="{5D397481-A434-418E-A25B-55762DE4DC9B}"/>
    <cellStyle name="Normální 10 5 2" xfId="111" xr:uid="{ECCDA5DA-0E27-42E8-9E32-B10F6CB12391}"/>
    <cellStyle name="Normální 10 6" xfId="78" xr:uid="{D790821A-4FD1-491E-B53F-26C43820DADE}"/>
    <cellStyle name="Normální 2" xfId="2" xr:uid="{00000000-0005-0000-0000-000016000000}"/>
    <cellStyle name="Normální 2 123 2" xfId="6" xr:uid="{00000000-0005-0000-0000-000017000000}"/>
    <cellStyle name="Normální 2 123 2 2" xfId="13" xr:uid="{00000000-0005-0000-0000-000018000000}"/>
    <cellStyle name="Normální 2 123 2 2 2" xfId="22" xr:uid="{00000000-0005-0000-0000-000019000000}"/>
    <cellStyle name="Normální 2 123 2 2 2 2" xfId="40" xr:uid="{00000000-0005-0000-0000-00001A000000}"/>
    <cellStyle name="Normální 2 123 2 2 2 2 2" xfId="73" xr:uid="{F48B601A-33BB-4EA8-9EDF-63393FC89BF8}"/>
    <cellStyle name="Normální 2 123 2 2 2 2 2 2" xfId="140" xr:uid="{B1C9C804-3F59-4457-8E83-C042C580A2FB}"/>
    <cellStyle name="Normální 2 123 2 2 2 2 3" xfId="107" xr:uid="{45F9DC34-17BA-4FF4-B3AB-BC12697D668D}"/>
    <cellStyle name="Normální 2 123 2 2 2 3" xfId="57" xr:uid="{A63647EC-2C11-49C4-A33E-D5EE88A94018}"/>
    <cellStyle name="Normální 2 123 2 2 2 3 2" xfId="124" xr:uid="{16BE3337-EB18-4F19-83CC-26639A4D9ACF}"/>
    <cellStyle name="Normální 2 123 2 2 2 4" xfId="91" xr:uid="{2010975C-F785-4682-9751-D8DEBFF3F9A3}"/>
    <cellStyle name="Normální 2 123 2 2 3" xfId="31" xr:uid="{00000000-0005-0000-0000-00001B000000}"/>
    <cellStyle name="Normální 2 123 2 2 3 2" xfId="65" xr:uid="{5F67612B-7C01-4F4C-93DF-6A97101C16AF}"/>
    <cellStyle name="Normální 2 123 2 2 3 2 2" xfId="132" xr:uid="{17977DC4-66FA-4874-8FF5-4FF1FF650B96}"/>
    <cellStyle name="Normální 2 123 2 2 3 3" xfId="99" xr:uid="{A6BB043E-A5FA-4803-AB40-E86BC52EB918}"/>
    <cellStyle name="Normální 2 123 2 2 4" xfId="49" xr:uid="{759FC34F-5598-43AE-958F-3A8BC6842570}"/>
    <cellStyle name="Normální 2 123 2 2 4 2" xfId="116" xr:uid="{2AA9E090-2368-4961-A18F-3C91EF34E355}"/>
    <cellStyle name="Normální 2 123 2 2 5" xfId="83" xr:uid="{584441CC-839A-419B-B688-36F1642C4745}"/>
    <cellStyle name="Normální 2 123 2 3" xfId="17" xr:uid="{00000000-0005-0000-0000-00001C000000}"/>
    <cellStyle name="Normální 2 123 2 3 2" xfId="35" xr:uid="{00000000-0005-0000-0000-00001D000000}"/>
    <cellStyle name="Normální 2 123 2 3 2 2" xfId="69" xr:uid="{B6C34817-91CB-4721-8746-DB10F53809DF}"/>
    <cellStyle name="Normální 2 123 2 3 2 2 2" xfId="136" xr:uid="{3F3FABC5-A319-404B-906E-FC301D9BEF46}"/>
    <cellStyle name="Normální 2 123 2 3 2 3" xfId="103" xr:uid="{BD825C6D-E3BB-4A28-A043-C57C47807012}"/>
    <cellStyle name="Normální 2 123 2 3 3" xfId="53" xr:uid="{B08D4741-358D-4FAA-BDAC-F0AEA506F008}"/>
    <cellStyle name="Normální 2 123 2 3 3 2" xfId="120" xr:uid="{7BE0112A-A7DD-4F25-AC0C-8155A605E19A}"/>
    <cellStyle name="Normální 2 123 2 3 4" xfId="87" xr:uid="{BECA2038-FF47-44BC-9E99-EF4915F261F0}"/>
    <cellStyle name="Normální 2 123 2 4" xfId="26" xr:uid="{00000000-0005-0000-0000-00001E000000}"/>
    <cellStyle name="Normální 2 123 2 4 2" xfId="61" xr:uid="{6C1C9C3A-B77D-4A44-B883-DA678C0D6479}"/>
    <cellStyle name="Normální 2 123 2 4 2 2" xfId="128" xr:uid="{58A1724E-29C2-4FDA-B338-2841BC5BFC1D}"/>
    <cellStyle name="Normální 2 123 2 4 3" xfId="95" xr:uid="{0B7BC66A-4F32-42C8-AD68-D01845288671}"/>
    <cellStyle name="Normální 2 123 2 5" xfId="45" xr:uid="{29C4E8F2-3620-4FC9-AC89-295D266A4722}"/>
    <cellStyle name="Normální 2 123 2 5 2" xfId="112" xr:uid="{B44B686D-BF56-4F92-88F3-C8C5657D10A6}"/>
    <cellStyle name="Normální 2 123 2 6" xfId="79" xr:uid="{31216156-B265-4201-8C1D-9AEB3B97232D}"/>
    <cellStyle name="Normální 2 2" xfId="7" xr:uid="{00000000-0005-0000-0000-00001F000000}"/>
    <cellStyle name="Normální 3" xfId="10" xr:uid="{00000000-0005-0000-0000-000020000000}"/>
    <cellStyle name="Normální 3 2" xfId="15" xr:uid="{00000000-0005-0000-0000-000021000000}"/>
    <cellStyle name="Normální 3 2 2" xfId="24" xr:uid="{00000000-0005-0000-0000-000022000000}"/>
    <cellStyle name="Normální 3 2 2 2" xfId="42" xr:uid="{00000000-0005-0000-0000-000023000000}"/>
    <cellStyle name="Normální 3 2 2 2 2" xfId="75" xr:uid="{0E7B70DC-6A9D-4C8C-909B-F067A6A5D190}"/>
    <cellStyle name="Normální 3 2 2 2 2 2" xfId="142" xr:uid="{201752EE-91D5-4665-9AAE-DF221AB9E34A}"/>
    <cellStyle name="Normální 3 2 2 2 3" xfId="109" xr:uid="{D26C3F79-442E-49D5-95CB-E6B2D59515A0}"/>
    <cellStyle name="Normální 3 2 2 3" xfId="59" xr:uid="{AFAC291A-A5A9-4650-88ED-C27DE232F9D0}"/>
    <cellStyle name="Normální 3 2 2 3 2" xfId="126" xr:uid="{4E5D72CD-7A79-44B9-9EA7-F3DFA2F82CDD}"/>
    <cellStyle name="Normální 3 2 2 4" xfId="93" xr:uid="{A88D5D68-209B-4050-8533-D7AB9CD21B30}"/>
    <cellStyle name="Normální 3 2 3" xfId="33" xr:uid="{00000000-0005-0000-0000-000024000000}"/>
    <cellStyle name="Normální 3 2 3 2" xfId="67" xr:uid="{311DC0C5-C513-4BDC-8204-D8717997C1B6}"/>
    <cellStyle name="Normální 3 2 3 2 2" xfId="134" xr:uid="{5938EF97-4265-488C-9301-C16D4C5980CA}"/>
    <cellStyle name="Normální 3 2 3 3" xfId="101" xr:uid="{B63D6AFB-3DFA-4D73-95AC-EAD9F105FD74}"/>
    <cellStyle name="Normální 3 2 4" xfId="51" xr:uid="{C9890856-02B6-437E-A6E6-EC263C85D6FE}"/>
    <cellStyle name="Normální 3 2 4 2" xfId="118" xr:uid="{66340A22-2FC8-462F-B336-F6C672C815D7}"/>
    <cellStyle name="Normální 3 2 5" xfId="85" xr:uid="{389425FA-13FF-4146-9415-B5E39D5F1B16}"/>
    <cellStyle name="Normální 3 3" xfId="20" xr:uid="{00000000-0005-0000-0000-000025000000}"/>
    <cellStyle name="Normální 3 3 2" xfId="38" xr:uid="{00000000-0005-0000-0000-000026000000}"/>
    <cellStyle name="Normální 3 3 2 2" xfId="71" xr:uid="{DCD8B975-2D25-499F-8F7F-A36F786CE0B7}"/>
    <cellStyle name="Normální 3 3 2 2 2" xfId="138" xr:uid="{DC34AB3B-185F-4A5B-A708-59D18C669CB2}"/>
    <cellStyle name="Normální 3 3 2 3" xfId="105" xr:uid="{64C858A1-4807-4BBC-97C8-F1689C3C1693}"/>
    <cellStyle name="Normální 3 3 3" xfId="55" xr:uid="{C0B4ED3C-8E79-4D16-B04C-BFFA1DA2F4B5}"/>
    <cellStyle name="Normální 3 3 3 2" xfId="122" xr:uid="{C892BD0C-D0F5-4A64-917E-40A67DA3A262}"/>
    <cellStyle name="Normální 3 3 4" xfId="89" xr:uid="{65883ADF-9D7E-4232-8DAC-47EC271B2460}"/>
    <cellStyle name="Normální 3 4" xfId="29" xr:uid="{00000000-0005-0000-0000-000027000000}"/>
    <cellStyle name="Normální 3 4 2" xfId="63" xr:uid="{B75A4076-9737-4DA6-958F-A33F04605F24}"/>
    <cellStyle name="Normální 3 4 2 2" xfId="130" xr:uid="{C8B372C5-3DC5-4ADE-AB4E-86EBCBD076EE}"/>
    <cellStyle name="Normální 3 4 3" xfId="97" xr:uid="{602302FB-66A0-4B98-A582-20B5F5C38B96}"/>
    <cellStyle name="Normální 3 5" xfId="47" xr:uid="{EAC8063D-68C3-4046-B156-9768E8CD9B71}"/>
    <cellStyle name="Normální 3 5 2" xfId="114" xr:uid="{90599998-2C6E-44DF-A20D-9C3CF4238D42}"/>
    <cellStyle name="Normální 3 6" xfId="81" xr:uid="{2967348F-5301-428A-9A53-C23ABD73E893}"/>
    <cellStyle name="Normální 31" xfId="5" xr:uid="{00000000-0005-0000-0000-000028000000}"/>
    <cellStyle name="Normální 4" xfId="43" xr:uid="{45613E39-8EAE-40DA-A4ED-C10C60E45385}"/>
    <cellStyle name="Normální 4 2" xfId="76" xr:uid="{6D6B899F-02B6-4FCA-A479-EC77D28D9BBC}"/>
    <cellStyle name="Normální 4 2 2" xfId="143" xr:uid="{12CF0643-E596-485C-BE2D-F560656FFD3C}"/>
    <cellStyle name="Normální 4 3" xfId="110" xr:uid="{582C6F1F-37B0-45D8-94C8-641A63E0CDDE}"/>
    <cellStyle name="Normální 5" xfId="4" xr:uid="{00000000-0005-0000-0000-000029000000}"/>
    <cellStyle name="Normální 6" xfId="77" xr:uid="{91BD07F0-C91F-490A-A279-F72E6F14928D}"/>
    <cellStyle name="Normální 6 2" xfId="144" xr:uid="{762B632B-0F57-47F7-97AC-6A3844390467}"/>
    <cellStyle name="normální_List1" xfId="1" xr:uid="{00000000-0005-0000-0000-00002B000000}"/>
  </cellStyles>
  <dxfs count="0"/>
  <tableStyles count="0" defaultTableStyle="TableStyleMedium2" defaultPivotStyle="PivotStyleLight16"/>
  <colors>
    <mruColors>
      <color rgb="FF0000FB"/>
      <color rgb="FFFFFFCC"/>
      <color rgb="FFFFFF66"/>
      <color rgb="FFFFFF99"/>
      <color rgb="FFE4DFEC"/>
      <color rgb="FFF385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670EA-993D-4B2C-AC58-B0074C08E99A}">
  <sheetPr>
    <tabColor rgb="FFFFFF00"/>
    <pageSetUpPr fitToPage="1"/>
  </sheetPr>
  <dimension ref="A1:AF295"/>
  <sheetViews>
    <sheetView tabSelected="1"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2" sqref="C2:C3"/>
    </sheetView>
  </sheetViews>
  <sheetFormatPr defaultColWidth="9.109375" defaultRowHeight="15.6" outlineLevelRow="1" x14ac:dyDescent="0.3"/>
  <cols>
    <col min="1" max="1" width="15" style="945" customWidth="1"/>
    <col min="2" max="2" width="8.6640625" style="360" customWidth="1"/>
    <col min="3" max="3" width="60.5546875" style="309" customWidth="1"/>
    <col min="4" max="4" width="32.5546875" style="290" customWidth="1"/>
    <col min="5" max="6" width="39.6640625" style="360" customWidth="1"/>
    <col min="7" max="7" width="14.88671875" style="360" customWidth="1"/>
    <col min="8" max="8" width="13.44140625" style="359" customWidth="1"/>
    <col min="9" max="9" width="12" style="359" customWidth="1"/>
    <col min="10" max="10" width="12.33203125" style="359" customWidth="1"/>
    <col min="11" max="12" width="10.5546875" style="359" customWidth="1"/>
    <col min="13" max="13" width="12.33203125" style="359" customWidth="1"/>
    <col min="14" max="14" width="10.5546875" style="359" customWidth="1"/>
    <col min="15" max="15" width="14" style="359" customWidth="1"/>
    <col min="16" max="16" width="10.5546875" style="360" customWidth="1"/>
    <col min="17" max="20" width="12.109375" style="360" customWidth="1"/>
    <col min="21" max="21" width="15" style="360" customWidth="1"/>
    <col min="22" max="24" width="12.109375" style="360" customWidth="1"/>
    <col min="25" max="25" width="13.33203125" style="360" customWidth="1"/>
    <col min="26" max="26" width="78" style="360" customWidth="1"/>
    <col min="27" max="27" width="16" style="360" customWidth="1"/>
    <col min="28" max="28" width="11.6640625" style="360" customWidth="1"/>
    <col min="29" max="29" width="10.44140625" style="360" customWidth="1"/>
    <col min="30" max="30" width="8.33203125" style="360" customWidth="1"/>
    <col min="31" max="31" width="14.109375" style="360" customWidth="1"/>
    <col min="32" max="32" width="9.33203125" style="360" customWidth="1"/>
    <col min="33" max="16384" width="9.109375" style="360"/>
  </cols>
  <sheetData>
    <row r="1" spans="1:32" ht="30.6" thickBot="1" x14ac:dyDescent="0.55000000000000004">
      <c r="A1" s="861"/>
      <c r="B1" s="862"/>
      <c r="C1" s="1905" t="s">
        <v>1172</v>
      </c>
      <c r="D1" s="289" t="s">
        <v>853</v>
      </c>
      <c r="E1" s="863"/>
      <c r="F1" s="863"/>
      <c r="G1" s="862"/>
      <c r="H1" s="864"/>
      <c r="I1" s="864"/>
      <c r="J1" s="864"/>
      <c r="K1" s="864"/>
      <c r="L1" s="864"/>
      <c r="M1" s="864"/>
      <c r="N1" s="864"/>
      <c r="O1" s="864"/>
      <c r="P1" s="862"/>
      <c r="Q1" s="862"/>
      <c r="R1" s="862"/>
      <c r="S1" s="862"/>
      <c r="T1" s="862"/>
      <c r="U1" s="355"/>
      <c r="V1" s="355"/>
      <c r="W1" s="355"/>
      <c r="X1" s="865"/>
      <c r="Y1" s="865"/>
      <c r="Z1" s="866"/>
      <c r="AA1" s="862"/>
      <c r="AB1" s="867" t="s">
        <v>941</v>
      </c>
      <c r="AC1" s="862"/>
      <c r="AD1" s="862" t="s">
        <v>40</v>
      </c>
      <c r="AE1" s="861"/>
      <c r="AF1" s="861"/>
    </row>
    <row r="2" spans="1:32" ht="41.25" customHeight="1" thickBot="1" x14ac:dyDescent="0.3">
      <c r="A2" s="1899" t="s">
        <v>161</v>
      </c>
      <c r="B2" s="1901" t="s">
        <v>0</v>
      </c>
      <c r="C2" s="1903" t="s">
        <v>1</v>
      </c>
      <c r="D2" s="1876" t="s">
        <v>92</v>
      </c>
      <c r="E2" s="1845" t="s">
        <v>746</v>
      </c>
      <c r="F2" s="1845" t="s">
        <v>747</v>
      </c>
      <c r="G2" s="1885" t="s">
        <v>2</v>
      </c>
      <c r="H2" s="1887" t="s">
        <v>748</v>
      </c>
      <c r="I2" s="1889" t="s">
        <v>1171</v>
      </c>
      <c r="J2" s="1890"/>
      <c r="K2" s="1891" t="s">
        <v>667</v>
      </c>
      <c r="L2" s="1892"/>
      <c r="M2" s="1893" t="s">
        <v>749</v>
      </c>
      <c r="N2" s="1894"/>
      <c r="O2" s="1895"/>
      <c r="P2" s="1883" t="s">
        <v>665</v>
      </c>
      <c r="Q2" s="1883" t="s">
        <v>666</v>
      </c>
      <c r="R2" s="1878" t="s">
        <v>3</v>
      </c>
      <c r="S2" s="1879"/>
      <c r="T2" s="1880"/>
      <c r="U2" s="1869" t="s">
        <v>109</v>
      </c>
      <c r="V2" s="1870"/>
      <c r="W2" s="1870"/>
      <c r="X2" s="1870"/>
      <c r="Y2" s="1871"/>
      <c r="Z2" s="1881" t="s">
        <v>1159</v>
      </c>
      <c r="AA2" s="1876" t="s">
        <v>100</v>
      </c>
      <c r="AB2" s="1874" t="s">
        <v>91</v>
      </c>
      <c r="AC2" s="1874" t="s">
        <v>55</v>
      </c>
      <c r="AD2" s="1874" t="s">
        <v>859</v>
      </c>
      <c r="AE2" s="1872" t="s">
        <v>118</v>
      </c>
      <c r="AF2" s="1872" t="s">
        <v>384</v>
      </c>
    </row>
    <row r="3" spans="1:32" ht="93.75" customHeight="1" thickBot="1" x14ac:dyDescent="0.3">
      <c r="A3" s="1900"/>
      <c r="B3" s="1902"/>
      <c r="C3" s="1904"/>
      <c r="D3" s="1877"/>
      <c r="E3" s="1846"/>
      <c r="F3" s="1846"/>
      <c r="G3" s="1886"/>
      <c r="H3" s="1888"/>
      <c r="I3" s="323" t="s">
        <v>662</v>
      </c>
      <c r="J3" s="323" t="s">
        <v>663</v>
      </c>
      <c r="K3" s="324" t="s">
        <v>662</v>
      </c>
      <c r="L3" s="333" t="s">
        <v>663</v>
      </c>
      <c r="M3" s="166" t="s">
        <v>857</v>
      </c>
      <c r="N3" s="250" t="s">
        <v>750</v>
      </c>
      <c r="O3" s="166" t="s">
        <v>858</v>
      </c>
      <c r="P3" s="1884"/>
      <c r="Q3" s="1884"/>
      <c r="R3" s="186" t="s">
        <v>79</v>
      </c>
      <c r="S3" s="186" t="s">
        <v>102</v>
      </c>
      <c r="T3" s="187" t="s">
        <v>78</v>
      </c>
      <c r="U3" s="188" t="s">
        <v>65</v>
      </c>
      <c r="V3" s="193" t="s">
        <v>751</v>
      </c>
      <c r="W3" s="193" t="s">
        <v>1013</v>
      </c>
      <c r="X3" s="184" t="s">
        <v>667</v>
      </c>
      <c r="Y3" s="184" t="s">
        <v>1163</v>
      </c>
      <c r="Z3" s="1882"/>
      <c r="AA3" s="1877"/>
      <c r="AB3" s="1875"/>
      <c r="AC3" s="1875"/>
      <c r="AD3" s="1875"/>
      <c r="AE3" s="1873"/>
      <c r="AF3" s="1873"/>
    </row>
    <row r="4" spans="1:32" ht="16.2" thickBot="1" x14ac:dyDescent="0.3">
      <c r="A4" s="71"/>
      <c r="B4" s="71"/>
      <c r="C4" s="328" t="s">
        <v>40</v>
      </c>
      <c r="D4" s="2"/>
      <c r="E4" s="158" t="s">
        <v>40</v>
      </c>
      <c r="F4" s="158" t="s">
        <v>40</v>
      </c>
      <c r="G4" s="68"/>
      <c r="H4" s="201"/>
      <c r="I4" s="201"/>
      <c r="J4" s="201"/>
      <c r="K4" s="325"/>
      <c r="L4" s="348"/>
      <c r="M4" s="148"/>
      <c r="N4" s="82"/>
      <c r="O4" s="82"/>
      <c r="P4" s="69" t="s">
        <v>40</v>
      </c>
      <c r="Q4" s="69"/>
      <c r="R4" s="150"/>
      <c r="S4" s="149"/>
      <c r="T4" s="150"/>
      <c r="U4" s="151"/>
      <c r="V4" s="326"/>
      <c r="W4" s="326"/>
      <c r="X4" s="329"/>
      <c r="Y4" s="174"/>
      <c r="Z4" s="354"/>
      <c r="AA4" s="72"/>
      <c r="AB4" s="152"/>
      <c r="AC4" s="153"/>
      <c r="AD4" s="212"/>
      <c r="AE4" s="68"/>
      <c r="AF4" s="285"/>
    </row>
    <row r="5" spans="1:32" ht="27" outlineLevel="1" thickBot="1" x14ac:dyDescent="0.3">
      <c r="A5" s="371" t="s">
        <v>198</v>
      </c>
      <c r="B5" s="372" t="s">
        <v>203</v>
      </c>
      <c r="C5" s="611" t="s">
        <v>6</v>
      </c>
      <c r="D5" s="35" t="s">
        <v>548</v>
      </c>
      <c r="E5" s="868" t="s">
        <v>4</v>
      </c>
      <c r="F5" s="869" t="s">
        <v>4</v>
      </c>
      <c r="G5" s="39">
        <v>64001.103999999999</v>
      </c>
      <c r="H5" s="76">
        <v>53692.330399999999</v>
      </c>
      <c r="I5" s="870">
        <v>0</v>
      </c>
      <c r="J5" s="871">
        <v>0</v>
      </c>
      <c r="K5" s="374">
        <v>0</v>
      </c>
      <c r="L5" s="54">
        <f t="shared" ref="L5:L9" si="0">O5-K5</f>
        <v>1508.7736000000004</v>
      </c>
      <c r="M5" s="130">
        <v>10308.7736</v>
      </c>
      <c r="N5" s="547">
        <v>-8800</v>
      </c>
      <c r="O5" s="547">
        <f t="shared" ref="O5:O10" si="1">M5+N5</f>
        <v>1508.7736000000004</v>
      </c>
      <c r="P5" s="376">
        <v>8800</v>
      </c>
      <c r="Q5" s="54">
        <v>0</v>
      </c>
      <c r="R5" s="85">
        <v>0</v>
      </c>
      <c r="S5" s="86">
        <v>0</v>
      </c>
      <c r="T5" s="54">
        <v>0</v>
      </c>
      <c r="U5" s="378">
        <v>0</v>
      </c>
      <c r="V5" s="379">
        <v>0</v>
      </c>
      <c r="W5" s="379">
        <v>0</v>
      </c>
      <c r="X5" s="379">
        <v>0</v>
      </c>
      <c r="Y5" s="380">
        <v>0</v>
      </c>
      <c r="Z5" s="156" t="s">
        <v>1057</v>
      </c>
      <c r="AA5" s="35" t="s">
        <v>9</v>
      </c>
      <c r="AB5" s="109" t="s">
        <v>57</v>
      </c>
      <c r="AC5" s="381" t="s">
        <v>59</v>
      </c>
      <c r="AD5" s="109" t="s">
        <v>67</v>
      </c>
      <c r="AE5" s="869" t="s">
        <v>54</v>
      </c>
      <c r="AF5" s="869" t="s">
        <v>52</v>
      </c>
    </row>
    <row r="6" spans="1:32" s="876" customFormat="1" ht="27" outlineLevel="1" thickBot="1" x14ac:dyDescent="0.3">
      <c r="A6" s="487" t="s">
        <v>199</v>
      </c>
      <c r="B6" s="840" t="s">
        <v>204</v>
      </c>
      <c r="C6" s="841" t="s">
        <v>90</v>
      </c>
      <c r="D6" s="62" t="s">
        <v>549</v>
      </c>
      <c r="E6" s="132" t="s">
        <v>4</v>
      </c>
      <c r="F6" s="253" t="s">
        <v>4</v>
      </c>
      <c r="G6" s="489">
        <v>18000</v>
      </c>
      <c r="H6" s="490">
        <v>15250.19397</v>
      </c>
      <c r="I6" s="874">
        <v>30.25</v>
      </c>
      <c r="J6" s="875">
        <v>1171.3153400000001</v>
      </c>
      <c r="K6" s="491">
        <v>30.25</v>
      </c>
      <c r="L6" s="699">
        <f t="shared" si="0"/>
        <v>1719.5560299999984</v>
      </c>
      <c r="M6" s="404">
        <v>2749.8060299999984</v>
      </c>
      <c r="N6" s="403">
        <v>-1000</v>
      </c>
      <c r="O6" s="403">
        <f t="shared" si="1"/>
        <v>1749.8060299999984</v>
      </c>
      <c r="P6" s="494">
        <v>1000</v>
      </c>
      <c r="Q6" s="492">
        <v>0</v>
      </c>
      <c r="R6" s="493">
        <v>0</v>
      </c>
      <c r="S6" s="496">
        <v>0</v>
      </c>
      <c r="T6" s="492">
        <v>0</v>
      </c>
      <c r="U6" s="398">
        <v>0</v>
      </c>
      <c r="V6" s="485">
        <v>0</v>
      </c>
      <c r="W6" s="485">
        <v>0</v>
      </c>
      <c r="X6" s="485">
        <v>0</v>
      </c>
      <c r="Y6" s="445">
        <v>0</v>
      </c>
      <c r="Z6" s="164" t="s">
        <v>1058</v>
      </c>
      <c r="AA6" s="62" t="s">
        <v>111</v>
      </c>
      <c r="AB6" s="697" t="s">
        <v>582</v>
      </c>
      <c r="AC6" s="697" t="s">
        <v>59</v>
      </c>
      <c r="AD6" s="183" t="s">
        <v>67</v>
      </c>
      <c r="AE6" s="253" t="s">
        <v>54</v>
      </c>
      <c r="AF6" s="253" t="s">
        <v>52</v>
      </c>
    </row>
    <row r="7" spans="1:32" s="876" customFormat="1" ht="31.8" outlineLevel="1" thickBot="1" x14ac:dyDescent="0.3">
      <c r="A7" s="842" t="s">
        <v>200</v>
      </c>
      <c r="B7" s="393" t="s">
        <v>892</v>
      </c>
      <c r="C7" s="841" t="s">
        <v>141</v>
      </c>
      <c r="D7" s="62" t="s">
        <v>163</v>
      </c>
      <c r="E7" s="132" t="s">
        <v>4</v>
      </c>
      <c r="F7" s="253" t="s">
        <v>4</v>
      </c>
      <c r="G7" s="397">
        <v>11000</v>
      </c>
      <c r="H7" s="843">
        <v>0</v>
      </c>
      <c r="I7" s="844">
        <v>0</v>
      </c>
      <c r="J7" s="845">
        <v>42.35</v>
      </c>
      <c r="K7" s="485">
        <v>0</v>
      </c>
      <c r="L7" s="683">
        <f t="shared" si="0"/>
        <v>1300</v>
      </c>
      <c r="M7" s="404">
        <v>11000</v>
      </c>
      <c r="N7" s="403">
        <v>-9700</v>
      </c>
      <c r="O7" s="403">
        <f t="shared" si="1"/>
        <v>1300</v>
      </c>
      <c r="P7" s="445">
        <v>9700</v>
      </c>
      <c r="Q7" s="498">
        <v>0</v>
      </c>
      <c r="R7" s="398">
        <v>0</v>
      </c>
      <c r="S7" s="497">
        <v>0</v>
      </c>
      <c r="T7" s="498">
        <v>0</v>
      </c>
      <c r="U7" s="398">
        <v>0</v>
      </c>
      <c r="V7" s="485">
        <v>0</v>
      </c>
      <c r="W7" s="485">
        <v>0</v>
      </c>
      <c r="X7" s="485">
        <v>0</v>
      </c>
      <c r="Y7" s="445">
        <v>0</v>
      </c>
      <c r="Z7" s="164" t="s">
        <v>1059</v>
      </c>
      <c r="AA7" s="369" t="s">
        <v>9</v>
      </c>
      <c r="AB7" s="183" t="s">
        <v>582</v>
      </c>
      <c r="AC7" s="183" t="s">
        <v>59</v>
      </c>
      <c r="AD7" s="183" t="s">
        <v>68</v>
      </c>
      <c r="AE7" s="253" t="s">
        <v>54</v>
      </c>
      <c r="AF7" s="253" t="s">
        <v>52</v>
      </c>
    </row>
    <row r="8" spans="1:32" s="877" customFormat="1" ht="31.2" outlineLevel="1" x14ac:dyDescent="0.25">
      <c r="A8" s="382" t="s">
        <v>386</v>
      </c>
      <c r="B8" s="383" t="s">
        <v>822</v>
      </c>
      <c r="C8" s="609" t="s">
        <v>387</v>
      </c>
      <c r="D8" s="36" t="s">
        <v>551</v>
      </c>
      <c r="E8" s="28" t="s">
        <v>4</v>
      </c>
      <c r="F8" s="878" t="s">
        <v>4</v>
      </c>
      <c r="G8" s="139">
        <v>7500</v>
      </c>
      <c r="H8" s="139">
        <v>0</v>
      </c>
      <c r="I8" s="879">
        <v>189.97</v>
      </c>
      <c r="J8" s="880">
        <v>0</v>
      </c>
      <c r="K8" s="389">
        <v>189.97</v>
      </c>
      <c r="L8" s="579">
        <f t="shared" si="0"/>
        <v>310.02999999999997</v>
      </c>
      <c r="M8" s="385">
        <v>7500</v>
      </c>
      <c r="N8" s="387">
        <v>-7000</v>
      </c>
      <c r="O8" s="387">
        <f t="shared" si="1"/>
        <v>500</v>
      </c>
      <c r="P8" s="385">
        <v>7000</v>
      </c>
      <c r="Q8" s="385">
        <v>0</v>
      </c>
      <c r="R8" s="388">
        <v>0</v>
      </c>
      <c r="S8" s="743">
        <v>0</v>
      </c>
      <c r="T8" s="390">
        <v>0</v>
      </c>
      <c r="U8" s="388">
        <v>0</v>
      </c>
      <c r="V8" s="389">
        <v>0</v>
      </c>
      <c r="W8" s="389">
        <v>0</v>
      </c>
      <c r="X8" s="389">
        <v>0</v>
      </c>
      <c r="Y8" s="390">
        <v>0</v>
      </c>
      <c r="Z8" s="163" t="s">
        <v>1060</v>
      </c>
      <c r="AA8" s="36" t="s">
        <v>9</v>
      </c>
      <c r="AB8" s="44" t="s">
        <v>242</v>
      </c>
      <c r="AC8" s="44" t="s">
        <v>59</v>
      </c>
      <c r="AD8" s="44" t="s">
        <v>67</v>
      </c>
      <c r="AE8" s="878" t="s">
        <v>54</v>
      </c>
      <c r="AF8" s="878" t="s">
        <v>52</v>
      </c>
    </row>
    <row r="9" spans="1:32" s="881" customFormat="1" ht="27" outlineLevel="1" thickBot="1" x14ac:dyDescent="0.3">
      <c r="A9" s="218" t="s">
        <v>407</v>
      </c>
      <c r="B9" s="1298" t="s">
        <v>818</v>
      </c>
      <c r="C9" s="1299" t="s">
        <v>408</v>
      </c>
      <c r="D9" s="1300" t="s">
        <v>551</v>
      </c>
      <c r="E9" s="1301" t="s">
        <v>4</v>
      </c>
      <c r="F9" s="1302" t="s">
        <v>4</v>
      </c>
      <c r="G9" s="1303">
        <f>2450-7.736</f>
        <v>2442.2640000000001</v>
      </c>
      <c r="H9" s="1097">
        <v>130.68</v>
      </c>
      <c r="I9" s="1098">
        <v>2250.6</v>
      </c>
      <c r="J9" s="1099">
        <v>60.984000000000002</v>
      </c>
      <c r="K9" s="1100">
        <v>2250.6</v>
      </c>
      <c r="L9" s="1101">
        <f t="shared" si="0"/>
        <v>60.984000000000378</v>
      </c>
      <c r="M9" s="1102">
        <v>2319.3200000000002</v>
      </c>
      <c r="N9" s="846">
        <v>-7.7359999999999998</v>
      </c>
      <c r="O9" s="1464">
        <f t="shared" si="1"/>
        <v>2311.5840000000003</v>
      </c>
      <c r="P9" s="1102">
        <v>0</v>
      </c>
      <c r="Q9" s="1465">
        <v>0</v>
      </c>
      <c r="R9" s="1466">
        <v>0</v>
      </c>
      <c r="S9" s="1100">
        <v>0</v>
      </c>
      <c r="T9" s="1465">
        <v>0</v>
      </c>
      <c r="U9" s="1466">
        <v>0</v>
      </c>
      <c r="V9" s="1100">
        <v>0</v>
      </c>
      <c r="W9" s="1100">
        <v>0</v>
      </c>
      <c r="X9" s="1100">
        <v>0</v>
      </c>
      <c r="Y9" s="1467">
        <v>0</v>
      </c>
      <c r="Z9" s="1468" t="s">
        <v>1061</v>
      </c>
      <c r="AA9" s="1469" t="s">
        <v>62</v>
      </c>
      <c r="AB9" s="1470" t="s">
        <v>284</v>
      </c>
      <c r="AC9" s="1470" t="s">
        <v>59</v>
      </c>
      <c r="AD9" s="1470" t="s">
        <v>67</v>
      </c>
      <c r="AE9" s="1302" t="s">
        <v>54</v>
      </c>
      <c r="AF9" s="1302" t="s">
        <v>52</v>
      </c>
    </row>
    <row r="10" spans="1:32" s="877" customFormat="1" ht="46.8" outlineLevel="1" x14ac:dyDescent="0.25">
      <c r="A10" s="847" t="s">
        <v>1062</v>
      </c>
      <c r="B10" s="848" t="s">
        <v>54</v>
      </c>
      <c r="C10" s="849" t="s">
        <v>1063</v>
      </c>
      <c r="D10" s="31" t="s">
        <v>54</v>
      </c>
      <c r="E10" s="23" t="s">
        <v>4</v>
      </c>
      <c r="F10" s="882" t="s">
        <v>4</v>
      </c>
      <c r="G10" s="154">
        <v>250</v>
      </c>
      <c r="H10" s="119">
        <v>0</v>
      </c>
      <c r="I10" s="883">
        <v>0</v>
      </c>
      <c r="J10" s="884">
        <v>0</v>
      </c>
      <c r="K10" s="850">
        <v>0</v>
      </c>
      <c r="L10" s="851">
        <v>0</v>
      </c>
      <c r="M10" s="178">
        <v>0</v>
      </c>
      <c r="N10" s="1736">
        <v>0</v>
      </c>
      <c r="O10" s="854">
        <f t="shared" si="1"/>
        <v>0</v>
      </c>
      <c r="P10" s="178">
        <v>250</v>
      </c>
      <c r="Q10" s="860">
        <v>0</v>
      </c>
      <c r="R10" s="947">
        <v>0</v>
      </c>
      <c r="S10" s="850">
        <v>0</v>
      </c>
      <c r="T10" s="855">
        <v>0</v>
      </c>
      <c r="U10" s="852">
        <v>0</v>
      </c>
      <c r="V10" s="850">
        <v>0</v>
      </c>
      <c r="W10" s="850">
        <v>0</v>
      </c>
      <c r="X10" s="850">
        <v>0</v>
      </c>
      <c r="Y10" s="853">
        <v>0</v>
      </c>
      <c r="Z10" s="169" t="s">
        <v>1064</v>
      </c>
      <c r="AA10" s="38" t="s">
        <v>7</v>
      </c>
      <c r="AB10" s="104" t="s">
        <v>719</v>
      </c>
      <c r="AC10" s="83" t="s">
        <v>58</v>
      </c>
      <c r="AD10" s="83" t="s">
        <v>67</v>
      </c>
      <c r="AE10" s="882" t="s">
        <v>54</v>
      </c>
      <c r="AF10" s="882" t="s">
        <v>52</v>
      </c>
    </row>
    <row r="11" spans="1:32" s="877" customFormat="1" ht="31.2" outlineLevel="1" x14ac:dyDescent="0.25">
      <c r="A11" s="654" t="s">
        <v>1065</v>
      </c>
      <c r="B11" s="856" t="s">
        <v>54</v>
      </c>
      <c r="C11" s="857" t="s">
        <v>1066</v>
      </c>
      <c r="D11" s="27" t="s">
        <v>54</v>
      </c>
      <c r="E11" s="22" t="s">
        <v>4</v>
      </c>
      <c r="F11" s="885" t="s">
        <v>4</v>
      </c>
      <c r="G11" s="125">
        <v>1200</v>
      </c>
      <c r="H11" s="144">
        <v>0</v>
      </c>
      <c r="I11" s="886">
        <v>0</v>
      </c>
      <c r="J11" s="887">
        <v>0</v>
      </c>
      <c r="K11" s="786">
        <v>0</v>
      </c>
      <c r="L11" s="858">
        <v>0</v>
      </c>
      <c r="M11" s="657">
        <v>0</v>
      </c>
      <c r="N11" s="1737">
        <v>0</v>
      </c>
      <c r="O11" s="658">
        <v>0</v>
      </c>
      <c r="P11" s="657">
        <v>1200</v>
      </c>
      <c r="Q11" s="657">
        <v>0</v>
      </c>
      <c r="R11" s="785">
        <v>0</v>
      </c>
      <c r="S11" s="786">
        <v>0</v>
      </c>
      <c r="T11" s="859">
        <v>0</v>
      </c>
      <c r="U11" s="785">
        <v>0</v>
      </c>
      <c r="V11" s="786">
        <v>0</v>
      </c>
      <c r="W11" s="786">
        <v>0</v>
      </c>
      <c r="X11" s="786">
        <v>0</v>
      </c>
      <c r="Y11" s="787">
        <v>0</v>
      </c>
      <c r="Z11" s="121" t="s">
        <v>1067</v>
      </c>
      <c r="AA11" s="32" t="s">
        <v>7</v>
      </c>
      <c r="AB11" s="104" t="s">
        <v>584</v>
      </c>
      <c r="AC11" s="75" t="s">
        <v>58</v>
      </c>
      <c r="AD11" s="75" t="s">
        <v>67</v>
      </c>
      <c r="AE11" s="885" t="s">
        <v>54</v>
      </c>
      <c r="AF11" s="885" t="s">
        <v>52</v>
      </c>
    </row>
    <row r="12" spans="1:32" outlineLevel="1" thickBot="1" x14ac:dyDescent="0.3">
      <c r="A12" s="14" t="s">
        <v>63</v>
      </c>
      <c r="B12" s="1308" t="s">
        <v>63</v>
      </c>
      <c r="C12" s="1309" t="s">
        <v>63</v>
      </c>
      <c r="D12" s="1310" t="s">
        <v>63</v>
      </c>
      <c r="E12" s="1305" t="s">
        <v>63</v>
      </c>
      <c r="F12" s="1306" t="s">
        <v>63</v>
      </c>
      <c r="G12" s="1311" t="s">
        <v>63</v>
      </c>
      <c r="H12" s="1104" t="s">
        <v>63</v>
      </c>
      <c r="I12" s="1105" t="s">
        <v>63</v>
      </c>
      <c r="J12" s="1106" t="s">
        <v>63</v>
      </c>
      <c r="K12" s="1107" t="s">
        <v>63</v>
      </c>
      <c r="L12" s="1108" t="s">
        <v>63</v>
      </c>
      <c r="M12" s="80" t="s">
        <v>63</v>
      </c>
      <c r="N12" s="162" t="s">
        <v>63</v>
      </c>
      <c r="O12" s="80" t="s">
        <v>63</v>
      </c>
      <c r="P12" s="80" t="s">
        <v>63</v>
      </c>
      <c r="Q12" s="80" t="s">
        <v>63</v>
      </c>
      <c r="R12" s="1472" t="s">
        <v>63</v>
      </c>
      <c r="S12" s="1107" t="s">
        <v>63</v>
      </c>
      <c r="T12" s="1473" t="s">
        <v>63</v>
      </c>
      <c r="U12" s="1472" t="s">
        <v>63</v>
      </c>
      <c r="V12" s="1107" t="s">
        <v>63</v>
      </c>
      <c r="W12" s="1107" t="s">
        <v>63</v>
      </c>
      <c r="X12" s="1474" t="s">
        <v>63</v>
      </c>
      <c r="Y12" s="162" t="s">
        <v>63</v>
      </c>
      <c r="Z12" s="80" t="s">
        <v>63</v>
      </c>
      <c r="AA12" s="1475" t="s">
        <v>63</v>
      </c>
      <c r="AB12" s="14" t="s">
        <v>63</v>
      </c>
      <c r="AC12" s="14" t="s">
        <v>63</v>
      </c>
      <c r="AD12" s="14" t="s">
        <v>63</v>
      </c>
      <c r="AE12" s="1306" t="s">
        <v>63</v>
      </c>
      <c r="AF12" s="1306" t="s">
        <v>63</v>
      </c>
    </row>
    <row r="13" spans="1:32" s="888" customFormat="1" ht="18" thickBot="1" x14ac:dyDescent="0.3">
      <c r="A13" s="243" t="s">
        <v>201</v>
      </c>
      <c r="B13" s="242"/>
      <c r="C13" s="246"/>
      <c r="D13" s="314" t="s">
        <v>52</v>
      </c>
      <c r="E13" s="331" t="s">
        <v>52</v>
      </c>
      <c r="F13" s="314" t="s">
        <v>52</v>
      </c>
      <c r="G13" s="160">
        <f t="shared" ref="G13:N13" si="2">SUM(G5:G12)</f>
        <v>104393.36799999999</v>
      </c>
      <c r="H13" s="160">
        <f t="shared" si="2"/>
        <v>69073.204369999992</v>
      </c>
      <c r="I13" s="160">
        <f t="shared" si="2"/>
        <v>2470.8199999999997</v>
      </c>
      <c r="J13" s="160">
        <f t="shared" si="2"/>
        <v>1274.6493399999999</v>
      </c>
      <c r="K13" s="160">
        <f t="shared" si="2"/>
        <v>2470.8199999999997</v>
      </c>
      <c r="L13" s="160">
        <f t="shared" si="2"/>
        <v>4899.3436299999985</v>
      </c>
      <c r="M13" s="160">
        <f t="shared" si="2"/>
        <v>33877.89963</v>
      </c>
      <c r="N13" s="160">
        <f t="shared" si="2"/>
        <v>-26507.736000000001</v>
      </c>
      <c r="O13" s="160">
        <f t="shared" ref="O13:O53" si="3">M13+N13</f>
        <v>7370.1636299999991</v>
      </c>
      <c r="P13" s="160">
        <f t="shared" ref="P13:Y13" si="4">SUM(P5:P12)</f>
        <v>27950</v>
      </c>
      <c r="Q13" s="160">
        <f t="shared" si="4"/>
        <v>0</v>
      </c>
      <c r="R13" s="160">
        <f t="shared" si="4"/>
        <v>0</v>
      </c>
      <c r="S13" s="160">
        <f t="shared" si="4"/>
        <v>0</v>
      </c>
      <c r="T13" s="160">
        <f t="shared" si="4"/>
        <v>0</v>
      </c>
      <c r="U13" s="160">
        <f t="shared" si="4"/>
        <v>0</v>
      </c>
      <c r="V13" s="160">
        <f t="shared" si="4"/>
        <v>0</v>
      </c>
      <c r="W13" s="160">
        <f t="shared" si="4"/>
        <v>0</v>
      </c>
      <c r="X13" s="160">
        <f t="shared" si="4"/>
        <v>0</v>
      </c>
      <c r="Y13" s="160">
        <f t="shared" si="4"/>
        <v>0</v>
      </c>
      <c r="Z13" s="7" t="s">
        <v>860</v>
      </c>
      <c r="AA13" s="7" t="s">
        <v>52</v>
      </c>
      <c r="AB13" s="241" t="s">
        <v>52</v>
      </c>
      <c r="AC13" s="315" t="s">
        <v>52</v>
      </c>
      <c r="AD13" s="7" t="s">
        <v>52</v>
      </c>
      <c r="AE13" s="311" t="s">
        <v>52</v>
      </c>
      <c r="AF13" s="311" t="s">
        <v>52</v>
      </c>
    </row>
    <row r="14" spans="1:32" ht="40.200000000000003" outlineLevel="1" thickBot="1" x14ac:dyDescent="0.3">
      <c r="A14" s="487" t="s">
        <v>147</v>
      </c>
      <c r="B14" s="393" t="s">
        <v>205</v>
      </c>
      <c r="C14" s="488" t="s">
        <v>8</v>
      </c>
      <c r="D14" s="62" t="s">
        <v>553</v>
      </c>
      <c r="E14" s="256" t="s">
        <v>4</v>
      </c>
      <c r="F14" s="253" t="s">
        <v>4</v>
      </c>
      <c r="G14" s="489">
        <f>16659.59+29+23+1800+400+802+200-500+2000+8165</f>
        <v>29578.59</v>
      </c>
      <c r="H14" s="490">
        <v>26442.894</v>
      </c>
      <c r="I14" s="874">
        <v>562.65</v>
      </c>
      <c r="J14" s="875">
        <v>0</v>
      </c>
      <c r="K14" s="491">
        <v>562.65</v>
      </c>
      <c r="L14" s="492">
        <f t="shared" ref="L14:L19" si="5">O14-K14</f>
        <v>0</v>
      </c>
      <c r="M14" s="404">
        <v>3135.6959999999999</v>
      </c>
      <c r="N14" s="403">
        <v>-2573.0459999999998</v>
      </c>
      <c r="O14" s="403">
        <f t="shared" si="3"/>
        <v>562.65000000000009</v>
      </c>
      <c r="P14" s="494">
        <v>1573.046</v>
      </c>
      <c r="Q14" s="495">
        <v>1000</v>
      </c>
      <c r="R14" s="493">
        <v>0</v>
      </c>
      <c r="S14" s="496">
        <v>0</v>
      </c>
      <c r="T14" s="492">
        <v>0</v>
      </c>
      <c r="U14" s="398">
        <v>0</v>
      </c>
      <c r="V14" s="485">
        <v>0</v>
      </c>
      <c r="W14" s="485">
        <v>0</v>
      </c>
      <c r="X14" s="497">
        <v>0</v>
      </c>
      <c r="Y14" s="498">
        <v>0</v>
      </c>
      <c r="Z14" s="62" t="s">
        <v>887</v>
      </c>
      <c r="AA14" s="62" t="s">
        <v>7</v>
      </c>
      <c r="AB14" s="499" t="s">
        <v>286</v>
      </c>
      <c r="AC14" s="499" t="s">
        <v>59</v>
      </c>
      <c r="AD14" s="173" t="s">
        <v>67</v>
      </c>
      <c r="AE14" s="253" t="s">
        <v>54</v>
      </c>
      <c r="AF14" s="253" t="s">
        <v>52</v>
      </c>
    </row>
    <row r="15" spans="1:32" ht="40.200000000000003" outlineLevel="1" thickBot="1" x14ac:dyDescent="0.3">
      <c r="A15" s="500" t="s">
        <v>148</v>
      </c>
      <c r="B15" s="501" t="s">
        <v>206</v>
      </c>
      <c r="C15" s="502" t="s">
        <v>10</v>
      </c>
      <c r="D15" s="503" t="s">
        <v>554</v>
      </c>
      <c r="E15" s="504" t="s">
        <v>4</v>
      </c>
      <c r="F15" s="505" t="s">
        <v>4</v>
      </c>
      <c r="G15" s="506">
        <f>1182.025+540.2+700+2000+6000+17.92195+48.94916+2000+2000+5000+7000</f>
        <v>26489.096109999999</v>
      </c>
      <c r="H15" s="507">
        <v>5672.3045299999994</v>
      </c>
      <c r="I15" s="508">
        <v>1365.9894200000001</v>
      </c>
      <c r="J15" s="509">
        <v>882.81600000000003</v>
      </c>
      <c r="K15" s="510">
        <v>1365.9894200000001</v>
      </c>
      <c r="L15" s="511">
        <f t="shared" si="5"/>
        <v>5643.0105799999992</v>
      </c>
      <c r="M15" s="514">
        <v>10816.791579999999</v>
      </c>
      <c r="N15" s="515">
        <v>-3807.7915800000001</v>
      </c>
      <c r="O15" s="515">
        <f t="shared" si="3"/>
        <v>7008.9999999999991</v>
      </c>
      <c r="P15" s="513">
        <f>3807.79158+7000</f>
        <v>10807.791580000001</v>
      </c>
      <c r="Q15" s="516">
        <v>3000</v>
      </c>
      <c r="R15" s="512">
        <v>0</v>
      </c>
      <c r="S15" s="517">
        <v>0</v>
      </c>
      <c r="T15" s="518">
        <v>0</v>
      </c>
      <c r="U15" s="519">
        <v>0</v>
      </c>
      <c r="V15" s="520">
        <v>0</v>
      </c>
      <c r="W15" s="520">
        <v>0</v>
      </c>
      <c r="X15" s="521">
        <v>0</v>
      </c>
      <c r="Y15" s="522">
        <v>0</v>
      </c>
      <c r="Z15" s="503" t="s">
        <v>871</v>
      </c>
      <c r="AA15" s="523" t="s">
        <v>5</v>
      </c>
      <c r="AB15" s="524" t="s">
        <v>286</v>
      </c>
      <c r="AC15" s="524" t="s">
        <v>59</v>
      </c>
      <c r="AD15" s="525" t="s">
        <v>67</v>
      </c>
      <c r="AE15" s="505" t="s">
        <v>54</v>
      </c>
      <c r="AF15" s="505" t="s">
        <v>52</v>
      </c>
    </row>
    <row r="16" spans="1:32" ht="31.8" outlineLevel="1" thickBot="1" x14ac:dyDescent="0.3">
      <c r="A16" s="487" t="s">
        <v>149</v>
      </c>
      <c r="B16" s="393" t="s">
        <v>207</v>
      </c>
      <c r="C16" s="488" t="s">
        <v>11</v>
      </c>
      <c r="D16" s="62" t="s">
        <v>56</v>
      </c>
      <c r="E16" s="256" t="s">
        <v>4</v>
      </c>
      <c r="F16" s="253" t="s">
        <v>4</v>
      </c>
      <c r="G16" s="489">
        <f>25400-500-4300-700+2000+217.99512</f>
        <v>22117.99512</v>
      </c>
      <c r="H16" s="490">
        <v>20747.4735</v>
      </c>
      <c r="I16" s="874">
        <v>0</v>
      </c>
      <c r="J16" s="875">
        <v>202.10872000000001</v>
      </c>
      <c r="K16" s="491">
        <v>0</v>
      </c>
      <c r="L16" s="492">
        <f t="shared" si="5"/>
        <v>202.10871999999995</v>
      </c>
      <c r="M16" s="404">
        <v>1370.52162</v>
      </c>
      <c r="N16" s="403">
        <v>-1168.4129</v>
      </c>
      <c r="O16" s="403">
        <f t="shared" si="3"/>
        <v>202.10871999999995</v>
      </c>
      <c r="P16" s="494">
        <v>1168.4129</v>
      </c>
      <c r="Q16" s="495">
        <v>0</v>
      </c>
      <c r="R16" s="493">
        <v>0</v>
      </c>
      <c r="S16" s="496">
        <v>0</v>
      </c>
      <c r="T16" s="492">
        <v>0</v>
      </c>
      <c r="U16" s="398">
        <v>0</v>
      </c>
      <c r="V16" s="485">
        <v>0</v>
      </c>
      <c r="W16" s="485">
        <v>0</v>
      </c>
      <c r="X16" s="497">
        <v>0</v>
      </c>
      <c r="Y16" s="498">
        <v>0</v>
      </c>
      <c r="Z16" s="62" t="s">
        <v>872</v>
      </c>
      <c r="AA16" s="62" t="s">
        <v>7</v>
      </c>
      <c r="AB16" s="499" t="s">
        <v>286</v>
      </c>
      <c r="AC16" s="499" t="s">
        <v>59</v>
      </c>
      <c r="AD16" s="173" t="s">
        <v>67</v>
      </c>
      <c r="AE16" s="253" t="s">
        <v>54</v>
      </c>
      <c r="AF16" s="253" t="s">
        <v>52</v>
      </c>
    </row>
    <row r="17" spans="1:32" ht="40.200000000000003" outlineLevel="1" thickBot="1" x14ac:dyDescent="0.3">
      <c r="A17" s="500" t="s">
        <v>150</v>
      </c>
      <c r="B17" s="501" t="s">
        <v>208</v>
      </c>
      <c r="C17" s="502" t="s">
        <v>140</v>
      </c>
      <c r="D17" s="503" t="s">
        <v>56</v>
      </c>
      <c r="E17" s="504" t="s">
        <v>4</v>
      </c>
      <c r="F17" s="505" t="s">
        <v>4</v>
      </c>
      <c r="G17" s="506">
        <f>2000+406+2500+3200+2000+643.45187+1000</f>
        <v>11749.451870000001</v>
      </c>
      <c r="H17" s="507">
        <v>6742.70478</v>
      </c>
      <c r="I17" s="508">
        <v>0</v>
      </c>
      <c r="J17" s="509">
        <v>0</v>
      </c>
      <c r="K17" s="510">
        <v>0</v>
      </c>
      <c r="L17" s="511">
        <f t="shared" si="5"/>
        <v>0</v>
      </c>
      <c r="M17" s="514">
        <v>4006.7470899999998</v>
      </c>
      <c r="N17" s="515">
        <v>-4006.7470899999998</v>
      </c>
      <c r="O17" s="515">
        <f t="shared" si="3"/>
        <v>0</v>
      </c>
      <c r="P17" s="516">
        <v>3006.7470899999998</v>
      </c>
      <c r="Q17" s="516">
        <v>2000</v>
      </c>
      <c r="R17" s="512">
        <v>0</v>
      </c>
      <c r="S17" s="517">
        <v>0</v>
      </c>
      <c r="T17" s="518">
        <v>0</v>
      </c>
      <c r="U17" s="519">
        <v>0</v>
      </c>
      <c r="V17" s="520">
        <v>0</v>
      </c>
      <c r="W17" s="520">
        <v>0</v>
      </c>
      <c r="X17" s="521">
        <v>0</v>
      </c>
      <c r="Y17" s="526">
        <v>0</v>
      </c>
      <c r="Z17" s="503" t="s">
        <v>873</v>
      </c>
      <c r="AA17" s="503" t="s">
        <v>7</v>
      </c>
      <c r="AB17" s="525" t="s">
        <v>286</v>
      </c>
      <c r="AC17" s="524" t="s">
        <v>59</v>
      </c>
      <c r="AD17" s="525" t="s">
        <v>67</v>
      </c>
      <c r="AE17" s="505" t="s">
        <v>54</v>
      </c>
      <c r="AF17" s="505" t="s">
        <v>52</v>
      </c>
    </row>
    <row r="18" spans="1:32" ht="27" outlineLevel="1" thickBot="1" x14ac:dyDescent="0.3">
      <c r="A18" s="500" t="s">
        <v>151</v>
      </c>
      <c r="B18" s="501" t="s">
        <v>209</v>
      </c>
      <c r="C18" s="502" t="s">
        <v>229</v>
      </c>
      <c r="D18" s="503" t="s">
        <v>56</v>
      </c>
      <c r="E18" s="504" t="s">
        <v>4</v>
      </c>
      <c r="F18" s="505" t="s">
        <v>4</v>
      </c>
      <c r="G18" s="506">
        <f>3000-406+500+1000+1000</f>
        <v>5094</v>
      </c>
      <c r="H18" s="507">
        <v>593.38</v>
      </c>
      <c r="I18" s="508">
        <v>1954.1984</v>
      </c>
      <c r="J18" s="509">
        <v>0</v>
      </c>
      <c r="K18" s="510">
        <v>1954.1984</v>
      </c>
      <c r="L18" s="511">
        <f t="shared" si="5"/>
        <v>501.00000000000023</v>
      </c>
      <c r="M18" s="514">
        <v>3500.62</v>
      </c>
      <c r="N18" s="515">
        <v>-1045.4215999999999</v>
      </c>
      <c r="O18" s="515">
        <f t="shared" si="3"/>
        <v>2455.1984000000002</v>
      </c>
      <c r="P18" s="513">
        <v>2045.4215999999999</v>
      </c>
      <c r="Q18" s="516">
        <v>0</v>
      </c>
      <c r="R18" s="512">
        <v>0</v>
      </c>
      <c r="S18" s="517">
        <v>0</v>
      </c>
      <c r="T18" s="518">
        <v>0</v>
      </c>
      <c r="U18" s="519">
        <v>0</v>
      </c>
      <c r="V18" s="520">
        <v>0</v>
      </c>
      <c r="W18" s="520">
        <v>0</v>
      </c>
      <c r="X18" s="521">
        <v>0</v>
      </c>
      <c r="Y18" s="522">
        <v>0</v>
      </c>
      <c r="Z18" s="503" t="s">
        <v>874</v>
      </c>
      <c r="AA18" s="523" t="s">
        <v>9</v>
      </c>
      <c r="AB18" s="524" t="s">
        <v>286</v>
      </c>
      <c r="AC18" s="524" t="s">
        <v>59</v>
      </c>
      <c r="AD18" s="525" t="s">
        <v>67</v>
      </c>
      <c r="AE18" s="505" t="s">
        <v>54</v>
      </c>
      <c r="AF18" s="505" t="s">
        <v>52</v>
      </c>
    </row>
    <row r="19" spans="1:32" ht="27" outlineLevel="1" thickBot="1" x14ac:dyDescent="0.3">
      <c r="A19" s="527" t="s">
        <v>504</v>
      </c>
      <c r="B19" s="528" t="s">
        <v>54</v>
      </c>
      <c r="C19" s="529" t="s">
        <v>505</v>
      </c>
      <c r="D19" s="138" t="s">
        <v>579</v>
      </c>
      <c r="E19" s="889" t="s">
        <v>4</v>
      </c>
      <c r="F19" s="890" t="s">
        <v>4</v>
      </c>
      <c r="G19" s="120">
        <v>17000</v>
      </c>
      <c r="H19" s="98">
        <v>0</v>
      </c>
      <c r="I19" s="891">
        <v>0</v>
      </c>
      <c r="J19" s="892">
        <v>0</v>
      </c>
      <c r="K19" s="481">
        <v>0</v>
      </c>
      <c r="L19" s="530">
        <f t="shared" si="5"/>
        <v>0</v>
      </c>
      <c r="M19" s="531">
        <v>17000</v>
      </c>
      <c r="N19" s="484">
        <v>-17000</v>
      </c>
      <c r="O19" s="484">
        <f t="shared" si="3"/>
        <v>0</v>
      </c>
      <c r="P19" s="61">
        <v>17000</v>
      </c>
      <c r="Q19" s="63">
        <v>0</v>
      </c>
      <c r="R19" s="482">
        <v>0</v>
      </c>
      <c r="S19" s="189">
        <v>0</v>
      </c>
      <c r="T19" s="63">
        <v>0</v>
      </c>
      <c r="U19" s="532">
        <v>0</v>
      </c>
      <c r="V19" s="400">
        <v>0</v>
      </c>
      <c r="W19" s="400">
        <v>0</v>
      </c>
      <c r="X19" s="446">
        <v>0</v>
      </c>
      <c r="Y19" s="399">
        <v>0</v>
      </c>
      <c r="Z19" s="138" t="s">
        <v>875</v>
      </c>
      <c r="AA19" s="176" t="s">
        <v>7</v>
      </c>
      <c r="AB19" s="533" t="s">
        <v>286</v>
      </c>
      <c r="AC19" s="533" t="s">
        <v>58</v>
      </c>
      <c r="AD19" s="286" t="s">
        <v>67</v>
      </c>
      <c r="AE19" s="890" t="s">
        <v>54</v>
      </c>
      <c r="AF19" s="890" t="s">
        <v>52</v>
      </c>
    </row>
    <row r="20" spans="1:32" outlineLevel="1" thickBot="1" x14ac:dyDescent="0.3">
      <c r="A20" s="17" t="s">
        <v>63</v>
      </c>
      <c r="B20" s="240" t="s">
        <v>63</v>
      </c>
      <c r="C20" s="1317" t="s">
        <v>63</v>
      </c>
      <c r="D20" s="73" t="s">
        <v>63</v>
      </c>
      <c r="E20" s="158" t="s">
        <v>63</v>
      </c>
      <c r="F20" s="191" t="s">
        <v>63</v>
      </c>
      <c r="G20" s="893" t="s">
        <v>63</v>
      </c>
      <c r="H20" s="894" t="s">
        <v>63</v>
      </c>
      <c r="I20" s="895" t="s">
        <v>63</v>
      </c>
      <c r="J20" s="896" t="s">
        <v>63</v>
      </c>
      <c r="K20" s="81" t="s">
        <v>63</v>
      </c>
      <c r="L20" s="349" t="s">
        <v>63</v>
      </c>
      <c r="M20" s="33" t="s">
        <v>63</v>
      </c>
      <c r="N20" s="74" t="s">
        <v>63</v>
      </c>
      <c r="O20" s="33" t="s">
        <v>63</v>
      </c>
      <c r="P20" s="33" t="s">
        <v>63</v>
      </c>
      <c r="Q20" s="78" t="s">
        <v>63</v>
      </c>
      <c r="R20" s="115" t="s">
        <v>63</v>
      </c>
      <c r="S20" s="79" t="s">
        <v>63</v>
      </c>
      <c r="T20" s="78" t="s">
        <v>63</v>
      </c>
      <c r="U20" s="115" t="s">
        <v>63</v>
      </c>
      <c r="V20" s="81" t="s">
        <v>63</v>
      </c>
      <c r="W20" s="81" t="s">
        <v>63</v>
      </c>
      <c r="X20" s="79" t="s">
        <v>63</v>
      </c>
      <c r="Y20" s="74" t="s">
        <v>63</v>
      </c>
      <c r="Z20" s="33" t="s">
        <v>63</v>
      </c>
      <c r="AA20" s="1471" t="s">
        <v>63</v>
      </c>
      <c r="AB20" s="1480" t="s">
        <v>63</v>
      </c>
      <c r="AC20" s="1480" t="s">
        <v>63</v>
      </c>
      <c r="AD20" s="141" t="s">
        <v>63</v>
      </c>
      <c r="AE20" s="191" t="s">
        <v>63</v>
      </c>
      <c r="AF20" s="191" t="s">
        <v>63</v>
      </c>
    </row>
    <row r="21" spans="1:32" s="888" customFormat="1" ht="18" thickBot="1" x14ac:dyDescent="0.3">
      <c r="A21" s="243" t="s">
        <v>76</v>
      </c>
      <c r="B21" s="244"/>
      <c r="C21" s="247"/>
      <c r="D21" s="7" t="s">
        <v>52</v>
      </c>
      <c r="E21" s="13" t="s">
        <v>52</v>
      </c>
      <c r="F21" s="7" t="s">
        <v>52</v>
      </c>
      <c r="G21" s="160">
        <f t="shared" ref="G21:N21" si="6">SUM(G14:G20)</f>
        <v>112029.13309999999</v>
      </c>
      <c r="H21" s="160">
        <f t="shared" si="6"/>
        <v>60198.756809999999</v>
      </c>
      <c r="I21" s="160">
        <f t="shared" si="6"/>
        <v>3882.8378199999997</v>
      </c>
      <c r="J21" s="160">
        <f t="shared" si="6"/>
        <v>1084.92472</v>
      </c>
      <c r="K21" s="160">
        <f t="shared" si="6"/>
        <v>3882.8378199999997</v>
      </c>
      <c r="L21" s="160">
        <f t="shared" si="6"/>
        <v>6346.1192999999994</v>
      </c>
      <c r="M21" s="160">
        <f t="shared" si="6"/>
        <v>39830.37629</v>
      </c>
      <c r="N21" s="160">
        <f t="shared" si="6"/>
        <v>-29601.419170000001</v>
      </c>
      <c r="O21" s="160">
        <f t="shared" si="3"/>
        <v>10228.957119999999</v>
      </c>
      <c r="P21" s="160">
        <f t="shared" ref="P21:Y21" si="7">SUM(P14:P20)</f>
        <v>35601.419170000001</v>
      </c>
      <c r="Q21" s="160">
        <f t="shared" si="7"/>
        <v>6000</v>
      </c>
      <c r="R21" s="160">
        <f t="shared" si="7"/>
        <v>0</v>
      </c>
      <c r="S21" s="160">
        <f t="shared" si="7"/>
        <v>0</v>
      </c>
      <c r="T21" s="160">
        <f t="shared" si="7"/>
        <v>0</v>
      </c>
      <c r="U21" s="160">
        <f t="shared" si="7"/>
        <v>0</v>
      </c>
      <c r="V21" s="160">
        <f t="shared" si="7"/>
        <v>0</v>
      </c>
      <c r="W21" s="160">
        <f t="shared" si="7"/>
        <v>0</v>
      </c>
      <c r="X21" s="160">
        <f t="shared" si="7"/>
        <v>0</v>
      </c>
      <c r="Y21" s="160">
        <f t="shared" si="7"/>
        <v>0</v>
      </c>
      <c r="Z21" s="7" t="s">
        <v>1157</v>
      </c>
      <c r="AA21" s="7" t="s">
        <v>52</v>
      </c>
      <c r="AB21" s="315" t="s">
        <v>52</v>
      </c>
      <c r="AC21" s="315" t="s">
        <v>52</v>
      </c>
      <c r="AD21" s="7" t="s">
        <v>52</v>
      </c>
      <c r="AE21" s="7" t="s">
        <v>52</v>
      </c>
      <c r="AF21" s="7" t="s">
        <v>52</v>
      </c>
    </row>
    <row r="22" spans="1:32" ht="26.4" outlineLevel="1" x14ac:dyDescent="0.25">
      <c r="A22" s="973" t="s">
        <v>152</v>
      </c>
      <c r="B22" s="974" t="s">
        <v>210</v>
      </c>
      <c r="C22" s="975" t="s">
        <v>110</v>
      </c>
      <c r="D22" s="35" t="s">
        <v>555</v>
      </c>
      <c r="E22" s="47" t="s">
        <v>4</v>
      </c>
      <c r="F22" s="804" t="s">
        <v>4</v>
      </c>
      <c r="G22" s="39">
        <f>219905+250000</f>
        <v>469905</v>
      </c>
      <c r="H22" s="145">
        <v>264573.58469000005</v>
      </c>
      <c r="I22" s="976">
        <v>5888.2240000000002</v>
      </c>
      <c r="J22" s="951">
        <v>11035.244999999999</v>
      </c>
      <c r="K22" s="726">
        <v>5888.2240000000002</v>
      </c>
      <c r="L22" s="729">
        <f t="shared" ref="L22:L38" si="8">O22-K22</f>
        <v>14443.191309999997</v>
      </c>
      <c r="M22" s="130">
        <v>25331.415309999997</v>
      </c>
      <c r="N22" s="547">
        <v>-5000</v>
      </c>
      <c r="O22" s="717">
        <f t="shared" si="3"/>
        <v>20331.415309999997</v>
      </c>
      <c r="P22" s="725">
        <v>40000</v>
      </c>
      <c r="Q22" s="953">
        <f>125000+15000+5000</f>
        <v>145000</v>
      </c>
      <c r="R22" s="726">
        <v>0</v>
      </c>
      <c r="S22" s="955">
        <v>0</v>
      </c>
      <c r="T22" s="953">
        <v>0</v>
      </c>
      <c r="U22" s="726">
        <v>0</v>
      </c>
      <c r="V22" s="379">
        <v>0</v>
      </c>
      <c r="W22" s="379">
        <v>0</v>
      </c>
      <c r="X22" s="955">
        <v>0</v>
      </c>
      <c r="Y22" s="336">
        <v>0</v>
      </c>
      <c r="Z22" s="36" t="s">
        <v>1070</v>
      </c>
      <c r="AA22" s="41" t="s">
        <v>9</v>
      </c>
      <c r="AB22" s="977" t="s">
        <v>57</v>
      </c>
      <c r="AC22" s="977" t="s">
        <v>59</v>
      </c>
      <c r="AD22" s="109" t="s">
        <v>67</v>
      </c>
      <c r="AE22" s="804" t="s">
        <v>54</v>
      </c>
      <c r="AF22" s="804"/>
    </row>
    <row r="23" spans="1:32" ht="31.2" outlineLevel="1" x14ac:dyDescent="0.25">
      <c r="A23" s="978" t="s">
        <v>153</v>
      </c>
      <c r="B23" s="979" t="s">
        <v>211</v>
      </c>
      <c r="C23" s="980" t="s">
        <v>12</v>
      </c>
      <c r="D23" s="36" t="s">
        <v>556</v>
      </c>
      <c r="E23" s="28" t="s">
        <v>4</v>
      </c>
      <c r="F23" s="878" t="s">
        <v>4</v>
      </c>
      <c r="G23" s="42">
        <f>393116.17+102000+10000+18000+140000</f>
        <v>663116.16999999993</v>
      </c>
      <c r="H23" s="981">
        <v>568768.47970999987</v>
      </c>
      <c r="I23" s="879">
        <v>14491.284369999999</v>
      </c>
      <c r="J23" s="982">
        <v>4838.9209200000005</v>
      </c>
      <c r="K23" s="388">
        <v>14491.284369999999</v>
      </c>
      <c r="L23" s="579">
        <f t="shared" si="8"/>
        <v>12856.405919999999</v>
      </c>
      <c r="M23" s="385">
        <v>30347.690289999999</v>
      </c>
      <c r="N23" s="387">
        <v>-3000</v>
      </c>
      <c r="O23" s="387">
        <f t="shared" si="3"/>
        <v>27347.690289999999</v>
      </c>
      <c r="P23" s="385">
        <v>40000</v>
      </c>
      <c r="Q23" s="390">
        <v>27000</v>
      </c>
      <c r="R23" s="388">
        <v>0</v>
      </c>
      <c r="S23" s="743">
        <v>0</v>
      </c>
      <c r="T23" s="390">
        <v>0</v>
      </c>
      <c r="U23" s="388">
        <v>0</v>
      </c>
      <c r="V23" s="379">
        <v>0</v>
      </c>
      <c r="W23" s="379">
        <v>0</v>
      </c>
      <c r="X23" s="743">
        <v>0</v>
      </c>
      <c r="Y23" s="720">
        <v>0</v>
      </c>
      <c r="Z23" s="36" t="s">
        <v>1071</v>
      </c>
      <c r="AA23" s="36" t="s">
        <v>9</v>
      </c>
      <c r="AB23" s="391" t="s">
        <v>57</v>
      </c>
      <c r="AC23" s="580" t="s">
        <v>59</v>
      </c>
      <c r="AD23" s="44" t="s">
        <v>67</v>
      </c>
      <c r="AE23" s="878" t="s">
        <v>54</v>
      </c>
      <c r="AF23" s="878"/>
    </row>
    <row r="24" spans="1:32" s="873" customFormat="1" ht="31.8" outlineLevel="1" thickBot="1" x14ac:dyDescent="0.3">
      <c r="A24" s="477" t="s">
        <v>154</v>
      </c>
      <c r="B24" s="793" t="s">
        <v>54</v>
      </c>
      <c r="C24" s="738" t="s">
        <v>15</v>
      </c>
      <c r="D24" s="51" t="s">
        <v>557</v>
      </c>
      <c r="E24" s="904" t="s">
        <v>13</v>
      </c>
      <c r="F24" s="905" t="s">
        <v>13</v>
      </c>
      <c r="G24" s="52">
        <f>13323+36677</f>
        <v>50000</v>
      </c>
      <c r="H24" s="983">
        <v>0</v>
      </c>
      <c r="I24" s="984">
        <v>0</v>
      </c>
      <c r="J24" s="985">
        <v>0</v>
      </c>
      <c r="K24" s="595">
        <v>0</v>
      </c>
      <c r="L24" s="594">
        <f t="shared" si="8"/>
        <v>0</v>
      </c>
      <c r="M24" s="531">
        <v>25000</v>
      </c>
      <c r="N24" s="484">
        <v>-25000</v>
      </c>
      <c r="O24" s="484">
        <f t="shared" si="3"/>
        <v>0</v>
      </c>
      <c r="P24" s="597">
        <v>25000</v>
      </c>
      <c r="Q24" s="597">
        <v>25000</v>
      </c>
      <c r="R24" s="595">
        <v>0</v>
      </c>
      <c r="S24" s="742">
        <v>0</v>
      </c>
      <c r="T24" s="596">
        <v>0</v>
      </c>
      <c r="U24" s="532">
        <v>0</v>
      </c>
      <c r="V24" s="400">
        <v>0</v>
      </c>
      <c r="W24" s="400">
        <v>0</v>
      </c>
      <c r="X24" s="446">
        <v>0</v>
      </c>
      <c r="Y24" s="401">
        <v>0</v>
      </c>
      <c r="Z24" s="51" t="s">
        <v>1072</v>
      </c>
      <c r="AA24" s="51" t="s">
        <v>5</v>
      </c>
      <c r="AB24" s="486" t="s">
        <v>417</v>
      </c>
      <c r="AC24" s="486" t="s">
        <v>58</v>
      </c>
      <c r="AD24" s="107" t="s">
        <v>67</v>
      </c>
      <c r="AE24" s="905" t="s">
        <v>171</v>
      </c>
      <c r="AF24" s="905" t="s">
        <v>375</v>
      </c>
    </row>
    <row r="25" spans="1:32" s="873" customFormat="1" ht="27" outlineLevel="1" thickBot="1" x14ac:dyDescent="0.3">
      <c r="A25" s="477" t="s">
        <v>51</v>
      </c>
      <c r="B25" s="793" t="s">
        <v>815</v>
      </c>
      <c r="C25" s="738" t="s">
        <v>48</v>
      </c>
      <c r="D25" s="51" t="s">
        <v>558</v>
      </c>
      <c r="E25" s="904" t="s">
        <v>13</v>
      </c>
      <c r="F25" s="905" t="s">
        <v>13</v>
      </c>
      <c r="G25" s="52">
        <v>10599.735420000001</v>
      </c>
      <c r="H25" s="986">
        <v>0</v>
      </c>
      <c r="I25" s="987">
        <v>387.44200000000001</v>
      </c>
      <c r="J25" s="988">
        <v>0</v>
      </c>
      <c r="K25" s="595">
        <v>387.44200000000001</v>
      </c>
      <c r="L25" s="714">
        <f t="shared" si="8"/>
        <v>612.29342000000088</v>
      </c>
      <c r="M25" s="597">
        <v>4999.7354200000009</v>
      </c>
      <c r="N25" s="484">
        <v>-4000</v>
      </c>
      <c r="O25" s="484">
        <f t="shared" si="3"/>
        <v>999.73542000000089</v>
      </c>
      <c r="P25" s="597">
        <v>9600</v>
      </c>
      <c r="Q25" s="531">
        <v>0</v>
      </c>
      <c r="R25" s="532">
        <v>0</v>
      </c>
      <c r="S25" s="446">
        <v>0</v>
      </c>
      <c r="T25" s="596">
        <v>0</v>
      </c>
      <c r="U25" s="532">
        <v>0</v>
      </c>
      <c r="V25" s="400">
        <v>0</v>
      </c>
      <c r="W25" s="400">
        <v>0</v>
      </c>
      <c r="X25" s="446">
        <v>0</v>
      </c>
      <c r="Y25" s="401">
        <v>0</v>
      </c>
      <c r="Z25" s="51" t="s">
        <v>1073</v>
      </c>
      <c r="AA25" s="51" t="s">
        <v>9</v>
      </c>
      <c r="AB25" s="486" t="s">
        <v>573</v>
      </c>
      <c r="AC25" s="486" t="s">
        <v>59</v>
      </c>
      <c r="AD25" s="107" t="s">
        <v>67</v>
      </c>
      <c r="AE25" s="905" t="s">
        <v>127</v>
      </c>
      <c r="AF25" s="905" t="s">
        <v>375</v>
      </c>
    </row>
    <row r="26" spans="1:32" ht="26.4" outlineLevel="1" x14ac:dyDescent="0.25">
      <c r="A26" s="371" t="s">
        <v>85</v>
      </c>
      <c r="B26" s="372" t="s">
        <v>636</v>
      </c>
      <c r="C26" s="989" t="s">
        <v>83</v>
      </c>
      <c r="D26" s="35" t="s">
        <v>97</v>
      </c>
      <c r="E26" s="868" t="s">
        <v>13</v>
      </c>
      <c r="F26" s="869" t="s">
        <v>13</v>
      </c>
      <c r="G26" s="39">
        <v>16180</v>
      </c>
      <c r="H26" s="145">
        <v>659.45755999999994</v>
      </c>
      <c r="I26" s="976">
        <v>0</v>
      </c>
      <c r="J26" s="990">
        <v>0</v>
      </c>
      <c r="K26" s="378">
        <v>0</v>
      </c>
      <c r="L26" s="336">
        <f t="shared" si="8"/>
        <v>1000</v>
      </c>
      <c r="M26" s="725">
        <v>0</v>
      </c>
      <c r="N26" s="547">
        <v>1000</v>
      </c>
      <c r="O26" s="547">
        <f t="shared" si="3"/>
        <v>1000</v>
      </c>
      <c r="P26" s="130">
        <f>14520+1000.54244-1000</f>
        <v>14520.542439999999</v>
      </c>
      <c r="Q26" s="130">
        <v>0</v>
      </c>
      <c r="R26" s="378">
        <v>0</v>
      </c>
      <c r="S26" s="741">
        <v>0</v>
      </c>
      <c r="T26" s="380">
        <v>0</v>
      </c>
      <c r="U26" s="378">
        <v>0</v>
      </c>
      <c r="V26" s="379">
        <v>0</v>
      </c>
      <c r="W26" s="379">
        <v>0</v>
      </c>
      <c r="X26" s="741">
        <v>0</v>
      </c>
      <c r="Y26" s="336">
        <v>0</v>
      </c>
      <c r="Z26" s="35" t="s">
        <v>1074</v>
      </c>
      <c r="AA26" s="35" t="s">
        <v>9</v>
      </c>
      <c r="AB26" s="797" t="s">
        <v>417</v>
      </c>
      <c r="AC26" s="381" t="s">
        <v>59</v>
      </c>
      <c r="AD26" s="109" t="s">
        <v>67</v>
      </c>
      <c r="AE26" s="869" t="s">
        <v>54</v>
      </c>
      <c r="AF26" s="869"/>
    </row>
    <row r="27" spans="1:32" s="873" customFormat="1" ht="31.8" outlineLevel="1" thickBot="1" x14ac:dyDescent="0.3">
      <c r="A27" s="477" t="s">
        <v>86</v>
      </c>
      <c r="B27" s="793" t="s">
        <v>212</v>
      </c>
      <c r="C27" s="738" t="s">
        <v>84</v>
      </c>
      <c r="D27" s="138" t="s">
        <v>97</v>
      </c>
      <c r="E27" s="904" t="s">
        <v>13</v>
      </c>
      <c r="F27" s="905" t="s">
        <v>13</v>
      </c>
      <c r="G27" s="52">
        <v>250000</v>
      </c>
      <c r="H27" s="986">
        <v>188323.04458999998</v>
      </c>
      <c r="I27" s="987">
        <v>1184.2874999999999</v>
      </c>
      <c r="J27" s="988">
        <v>10101.84662</v>
      </c>
      <c r="K27" s="595">
        <v>1184.2874999999999</v>
      </c>
      <c r="L27" s="714">
        <f t="shared" si="8"/>
        <v>30492.667910000011</v>
      </c>
      <c r="M27" s="531">
        <v>41676.95541000001</v>
      </c>
      <c r="N27" s="484">
        <v>-10000</v>
      </c>
      <c r="O27" s="106">
        <f t="shared" si="3"/>
        <v>31676.95541000001</v>
      </c>
      <c r="P27" s="597">
        <v>30000</v>
      </c>
      <c r="Q27" s="597">
        <v>0</v>
      </c>
      <c r="R27" s="595">
        <v>0</v>
      </c>
      <c r="S27" s="742">
        <v>0</v>
      </c>
      <c r="T27" s="596">
        <v>0</v>
      </c>
      <c r="U27" s="532">
        <v>0</v>
      </c>
      <c r="V27" s="400">
        <v>0</v>
      </c>
      <c r="W27" s="400">
        <v>0</v>
      </c>
      <c r="X27" s="446">
        <v>0</v>
      </c>
      <c r="Y27" s="401">
        <v>0</v>
      </c>
      <c r="Z27" s="51" t="s">
        <v>1075</v>
      </c>
      <c r="AA27" s="51" t="s">
        <v>9</v>
      </c>
      <c r="AB27" s="991" t="s">
        <v>57</v>
      </c>
      <c r="AC27" s="486" t="s">
        <v>59</v>
      </c>
      <c r="AD27" s="107" t="s">
        <v>67</v>
      </c>
      <c r="AE27" s="905" t="s">
        <v>54</v>
      </c>
      <c r="AF27" s="905"/>
    </row>
    <row r="28" spans="1:32" s="876" customFormat="1" ht="27" outlineLevel="1" thickBot="1" x14ac:dyDescent="0.3">
      <c r="A28" s="487" t="s">
        <v>87</v>
      </c>
      <c r="B28" s="393" t="s">
        <v>213</v>
      </c>
      <c r="C28" s="992" t="s">
        <v>88</v>
      </c>
      <c r="D28" s="138" t="s">
        <v>549</v>
      </c>
      <c r="E28" s="889" t="s">
        <v>13</v>
      </c>
      <c r="F28" s="890" t="s">
        <v>13</v>
      </c>
      <c r="G28" s="120">
        <v>52400</v>
      </c>
      <c r="H28" s="986">
        <v>1076.8999999999999</v>
      </c>
      <c r="I28" s="987">
        <v>0</v>
      </c>
      <c r="J28" s="988">
        <v>0</v>
      </c>
      <c r="K28" s="532">
        <v>0</v>
      </c>
      <c r="L28" s="570">
        <f t="shared" si="8"/>
        <v>0.32500000000004547</v>
      </c>
      <c r="M28" s="531">
        <v>318.32500000000005</v>
      </c>
      <c r="N28" s="484">
        <v>-318</v>
      </c>
      <c r="O28" s="484">
        <f t="shared" si="3"/>
        <v>0.32500000000004547</v>
      </c>
      <c r="P28" s="402">
        <v>1000</v>
      </c>
      <c r="Q28" s="531">
        <f>50004.775+318</f>
        <v>50322.775000000001</v>
      </c>
      <c r="R28" s="532">
        <v>0</v>
      </c>
      <c r="S28" s="446">
        <v>0</v>
      </c>
      <c r="T28" s="399">
        <v>0</v>
      </c>
      <c r="U28" s="532">
        <v>0</v>
      </c>
      <c r="V28" s="400">
        <v>0</v>
      </c>
      <c r="W28" s="400">
        <v>0</v>
      </c>
      <c r="X28" s="446">
        <v>0</v>
      </c>
      <c r="Y28" s="401">
        <v>0</v>
      </c>
      <c r="Z28" s="51" t="s">
        <v>1076</v>
      </c>
      <c r="AA28" s="138" t="s">
        <v>9</v>
      </c>
      <c r="AB28" s="362" t="s">
        <v>418</v>
      </c>
      <c r="AC28" s="688" t="s">
        <v>59</v>
      </c>
      <c r="AD28" s="177" t="s">
        <v>68</v>
      </c>
      <c r="AE28" s="890" t="s">
        <v>123</v>
      </c>
      <c r="AF28" s="890" t="s">
        <v>375</v>
      </c>
    </row>
    <row r="29" spans="1:32" ht="27" outlineLevel="1" thickBot="1" x14ac:dyDescent="0.3">
      <c r="A29" s="371" t="s">
        <v>93</v>
      </c>
      <c r="B29" s="372" t="s">
        <v>214</v>
      </c>
      <c r="C29" s="989" t="s">
        <v>94</v>
      </c>
      <c r="D29" s="35" t="s">
        <v>559</v>
      </c>
      <c r="E29" s="868" t="s">
        <v>13</v>
      </c>
      <c r="F29" s="869" t="s">
        <v>13</v>
      </c>
      <c r="G29" s="39">
        <v>200000</v>
      </c>
      <c r="H29" s="145">
        <v>63371.908949999997</v>
      </c>
      <c r="I29" s="976">
        <v>3197.93309</v>
      </c>
      <c r="J29" s="990">
        <v>50751.197659999991</v>
      </c>
      <c r="K29" s="378">
        <v>3197.93309</v>
      </c>
      <c r="L29" s="336">
        <f t="shared" si="8"/>
        <v>96802.157959999982</v>
      </c>
      <c r="M29" s="130">
        <v>95000.091049999988</v>
      </c>
      <c r="N29" s="547">
        <v>5000</v>
      </c>
      <c r="O29" s="547">
        <f t="shared" si="3"/>
        <v>100000.09104999999</v>
      </c>
      <c r="P29" s="155">
        <f>110628-24000-15000-30000-5000</f>
        <v>36628</v>
      </c>
      <c r="Q29" s="130">
        <v>0</v>
      </c>
      <c r="R29" s="378">
        <v>0</v>
      </c>
      <c r="S29" s="741">
        <v>0</v>
      </c>
      <c r="T29" s="380">
        <v>0</v>
      </c>
      <c r="U29" s="378">
        <v>0</v>
      </c>
      <c r="V29" s="379">
        <v>0</v>
      </c>
      <c r="W29" s="379">
        <v>0</v>
      </c>
      <c r="X29" s="741">
        <v>0</v>
      </c>
      <c r="Y29" s="336">
        <v>0</v>
      </c>
      <c r="Z29" s="41" t="s">
        <v>1077</v>
      </c>
      <c r="AA29" s="35" t="s">
        <v>9</v>
      </c>
      <c r="AB29" s="797" t="s">
        <v>285</v>
      </c>
      <c r="AC29" s="381" t="s">
        <v>59</v>
      </c>
      <c r="AD29" s="109" t="s">
        <v>67</v>
      </c>
      <c r="AE29" s="869" t="s">
        <v>54</v>
      </c>
      <c r="AF29" s="869"/>
    </row>
    <row r="30" spans="1:32" s="876" customFormat="1" ht="27" outlineLevel="1" thickBot="1" x14ac:dyDescent="0.3">
      <c r="A30" s="527" t="s">
        <v>112</v>
      </c>
      <c r="B30" s="993" t="s">
        <v>623</v>
      </c>
      <c r="C30" s="994" t="s">
        <v>113</v>
      </c>
      <c r="D30" s="138" t="s">
        <v>560</v>
      </c>
      <c r="E30" s="131" t="s">
        <v>13</v>
      </c>
      <c r="F30" s="890" t="s">
        <v>13</v>
      </c>
      <c r="G30" s="120">
        <f>10878+1856+2900+3366</f>
        <v>19000</v>
      </c>
      <c r="H30" s="986">
        <v>3636.3936100000001</v>
      </c>
      <c r="I30" s="987">
        <v>7571.1906099999997</v>
      </c>
      <c r="J30" s="988">
        <v>1628.72991</v>
      </c>
      <c r="K30" s="532">
        <v>7571.1906099999997</v>
      </c>
      <c r="L30" s="401">
        <f t="shared" si="8"/>
        <v>7592.4157800000012</v>
      </c>
      <c r="M30" s="531">
        <v>15363.606390000001</v>
      </c>
      <c r="N30" s="484">
        <v>-200</v>
      </c>
      <c r="O30" s="484">
        <f t="shared" si="3"/>
        <v>15163.606390000001</v>
      </c>
      <c r="P30" s="531">
        <v>200</v>
      </c>
      <c r="Q30" s="531">
        <v>0</v>
      </c>
      <c r="R30" s="532">
        <v>0</v>
      </c>
      <c r="S30" s="446">
        <v>0</v>
      </c>
      <c r="T30" s="399">
        <v>0</v>
      </c>
      <c r="U30" s="532">
        <v>0</v>
      </c>
      <c r="V30" s="400">
        <v>0</v>
      </c>
      <c r="W30" s="400">
        <v>0</v>
      </c>
      <c r="X30" s="446">
        <v>0</v>
      </c>
      <c r="Y30" s="401">
        <v>0</v>
      </c>
      <c r="Z30" s="353" t="s">
        <v>1132</v>
      </c>
      <c r="AA30" s="138" t="s">
        <v>111</v>
      </c>
      <c r="AB30" s="362" t="s">
        <v>242</v>
      </c>
      <c r="AC30" s="688" t="s">
        <v>59</v>
      </c>
      <c r="AD30" s="177" t="s">
        <v>67</v>
      </c>
      <c r="AE30" s="890" t="s">
        <v>123</v>
      </c>
      <c r="AF30" s="890" t="s">
        <v>375</v>
      </c>
    </row>
    <row r="31" spans="1:32" s="969" customFormat="1" ht="27" outlineLevel="1" thickBot="1" x14ac:dyDescent="0.3">
      <c r="A31" s="295" t="s">
        <v>142</v>
      </c>
      <c r="B31" s="1319" t="s">
        <v>656</v>
      </c>
      <c r="C31" s="1320" t="s">
        <v>143</v>
      </c>
      <c r="D31" s="1321" t="s">
        <v>163</v>
      </c>
      <c r="E31" s="1322" t="s">
        <v>13</v>
      </c>
      <c r="F31" s="1323" t="s">
        <v>13</v>
      </c>
      <c r="G31" s="1324">
        <f>2000-200-14-0.56127</f>
        <v>1785.4387300000001</v>
      </c>
      <c r="H31" s="1117">
        <v>1744.078</v>
      </c>
      <c r="I31" s="1118">
        <v>0</v>
      </c>
      <c r="J31" s="1119">
        <v>41.360729999999997</v>
      </c>
      <c r="K31" s="1120">
        <v>0</v>
      </c>
      <c r="L31" s="1121">
        <f t="shared" si="8"/>
        <v>41.360730000000025</v>
      </c>
      <c r="M31" s="1122">
        <v>41.922000000000025</v>
      </c>
      <c r="N31" s="296">
        <f>0-0.56127</f>
        <v>-0.56127000000000005</v>
      </c>
      <c r="O31" s="1481">
        <f t="shared" si="3"/>
        <v>41.360730000000025</v>
      </c>
      <c r="P31" s="1122">
        <v>0</v>
      </c>
      <c r="Q31" s="1122">
        <v>0</v>
      </c>
      <c r="R31" s="1120">
        <v>0</v>
      </c>
      <c r="S31" s="1482">
        <v>0</v>
      </c>
      <c r="T31" s="1483">
        <v>0</v>
      </c>
      <c r="U31" s="1120">
        <v>0</v>
      </c>
      <c r="V31" s="1484">
        <v>0</v>
      </c>
      <c r="W31" s="1484">
        <v>0</v>
      </c>
      <c r="X31" s="1482">
        <v>0</v>
      </c>
      <c r="Y31" s="1485">
        <v>0</v>
      </c>
      <c r="Z31" s="1486" t="s">
        <v>89</v>
      </c>
      <c r="AA31" s="1321" t="s">
        <v>62</v>
      </c>
      <c r="AB31" s="1487" t="s">
        <v>284</v>
      </c>
      <c r="AC31" s="1488" t="s">
        <v>59</v>
      </c>
      <c r="AD31" s="1489" t="s">
        <v>67</v>
      </c>
      <c r="AE31" s="1323" t="s">
        <v>133</v>
      </c>
      <c r="AF31" s="1323" t="s">
        <v>375</v>
      </c>
    </row>
    <row r="32" spans="1:32" ht="31.8" outlineLevel="1" thickBot="1" x14ac:dyDescent="0.3">
      <c r="A32" s="487" t="s">
        <v>164</v>
      </c>
      <c r="B32" s="840" t="s">
        <v>651</v>
      </c>
      <c r="C32" s="995" t="s">
        <v>996</v>
      </c>
      <c r="D32" s="62" t="s">
        <v>561</v>
      </c>
      <c r="E32" s="132" t="s">
        <v>13</v>
      </c>
      <c r="F32" s="253" t="s">
        <v>13</v>
      </c>
      <c r="G32" s="489">
        <v>30000</v>
      </c>
      <c r="H32" s="843">
        <v>7752.4699999999993</v>
      </c>
      <c r="I32" s="844">
        <v>0</v>
      </c>
      <c r="J32" s="845">
        <v>6116.55</v>
      </c>
      <c r="K32" s="398">
        <v>0</v>
      </c>
      <c r="L32" s="498">
        <f t="shared" si="8"/>
        <v>12247.529999999999</v>
      </c>
      <c r="M32" s="404">
        <v>12247.529999999999</v>
      </c>
      <c r="N32" s="403">
        <v>0</v>
      </c>
      <c r="O32" s="403">
        <f t="shared" si="3"/>
        <v>12247.529999999999</v>
      </c>
      <c r="P32" s="404">
        <v>10000</v>
      </c>
      <c r="Q32" s="445">
        <v>0</v>
      </c>
      <c r="R32" s="398">
        <v>0</v>
      </c>
      <c r="S32" s="497">
        <v>0</v>
      </c>
      <c r="T32" s="445">
        <v>0</v>
      </c>
      <c r="U32" s="398">
        <v>0</v>
      </c>
      <c r="V32" s="485">
        <v>0</v>
      </c>
      <c r="W32" s="485">
        <v>0</v>
      </c>
      <c r="X32" s="497">
        <v>0</v>
      </c>
      <c r="Y32" s="498">
        <v>0</v>
      </c>
      <c r="Z32" s="370" t="s">
        <v>997</v>
      </c>
      <c r="AA32" s="62" t="s">
        <v>7</v>
      </c>
      <c r="AB32" s="996" t="s">
        <v>795</v>
      </c>
      <c r="AC32" s="697" t="s">
        <v>58</v>
      </c>
      <c r="AD32" s="183" t="s">
        <v>67</v>
      </c>
      <c r="AE32" s="253" t="s">
        <v>122</v>
      </c>
      <c r="AF32" s="253"/>
    </row>
    <row r="33" spans="1:32" ht="26.4" outlineLevel="1" x14ac:dyDescent="0.25">
      <c r="A33" s="997" t="s">
        <v>184</v>
      </c>
      <c r="B33" s="1325" t="s">
        <v>369</v>
      </c>
      <c r="C33" s="1326" t="s">
        <v>185</v>
      </c>
      <c r="D33" s="1327" t="s">
        <v>562</v>
      </c>
      <c r="E33" s="1328" t="s">
        <v>13</v>
      </c>
      <c r="F33" s="1329" t="s">
        <v>13</v>
      </c>
      <c r="G33" s="1330">
        <f>16300-4700-2175-200</f>
        <v>9225</v>
      </c>
      <c r="H33" s="1123">
        <v>9024.7397899999996</v>
      </c>
      <c r="I33" s="1124">
        <v>169.36389</v>
      </c>
      <c r="J33" s="1125">
        <v>0</v>
      </c>
      <c r="K33" s="1126">
        <v>169.36389</v>
      </c>
      <c r="L33" s="1127">
        <f t="shared" si="8"/>
        <v>30.896319999999974</v>
      </c>
      <c r="M33" s="1128">
        <v>400.26020999999997</v>
      </c>
      <c r="N33" s="958">
        <v>-200</v>
      </c>
      <c r="O33" s="1490">
        <f t="shared" si="3"/>
        <v>200.26020999999997</v>
      </c>
      <c r="P33" s="1128">
        <v>0</v>
      </c>
      <c r="Q33" s="1128">
        <v>0</v>
      </c>
      <c r="R33" s="1126">
        <v>0</v>
      </c>
      <c r="S33" s="1491">
        <v>0</v>
      </c>
      <c r="T33" s="1492">
        <v>0</v>
      </c>
      <c r="U33" s="1126">
        <v>0</v>
      </c>
      <c r="V33" s="1493">
        <v>0</v>
      </c>
      <c r="W33" s="1493">
        <v>0</v>
      </c>
      <c r="X33" s="1491">
        <v>0</v>
      </c>
      <c r="Y33" s="1127">
        <v>0</v>
      </c>
      <c r="Z33" s="1373" t="s">
        <v>998</v>
      </c>
      <c r="AA33" s="1327" t="s">
        <v>111</v>
      </c>
      <c r="AB33" s="1494" t="s">
        <v>330</v>
      </c>
      <c r="AC33" s="1495" t="s">
        <v>59</v>
      </c>
      <c r="AD33" s="1496" t="s">
        <v>67</v>
      </c>
      <c r="AE33" s="1329" t="s">
        <v>127</v>
      </c>
      <c r="AF33" s="1329" t="s">
        <v>376</v>
      </c>
    </row>
    <row r="34" spans="1:32" s="873" customFormat="1" ht="27" outlineLevel="1" thickBot="1" x14ac:dyDescent="0.3">
      <c r="A34" s="998" t="s">
        <v>186</v>
      </c>
      <c r="B34" s="999" t="s">
        <v>312</v>
      </c>
      <c r="C34" s="1000" t="s">
        <v>187</v>
      </c>
      <c r="D34" s="207" t="s">
        <v>562</v>
      </c>
      <c r="E34" s="208" t="s">
        <v>13</v>
      </c>
      <c r="F34" s="1001" t="s">
        <v>13</v>
      </c>
      <c r="G34" s="209">
        <f>143047-24900+15292+6000-4319+5200-1381</f>
        <v>138939</v>
      </c>
      <c r="H34" s="1002">
        <v>81938.871910000002</v>
      </c>
      <c r="I34" s="1003">
        <v>184.64600000000002</v>
      </c>
      <c r="J34" s="1004">
        <v>6664.87356</v>
      </c>
      <c r="K34" s="1005">
        <v>184.64600000000002</v>
      </c>
      <c r="L34" s="1006">
        <f t="shared" si="8"/>
        <v>26815.482089999998</v>
      </c>
      <c r="M34" s="1008">
        <v>21800.128089999998</v>
      </c>
      <c r="N34" s="1009">
        <v>5200</v>
      </c>
      <c r="O34" s="1009">
        <f t="shared" si="3"/>
        <v>27000.128089999998</v>
      </c>
      <c r="P34" s="1008">
        <v>0</v>
      </c>
      <c r="Q34" s="1008">
        <v>0</v>
      </c>
      <c r="R34" s="1005">
        <v>0</v>
      </c>
      <c r="S34" s="1010">
        <v>30000</v>
      </c>
      <c r="T34" s="1007">
        <v>0</v>
      </c>
      <c r="U34" s="1005">
        <v>0</v>
      </c>
      <c r="V34" s="1011">
        <v>0</v>
      </c>
      <c r="W34" s="1011">
        <v>0</v>
      </c>
      <c r="X34" s="1010">
        <v>0</v>
      </c>
      <c r="Y34" s="1012">
        <v>0</v>
      </c>
      <c r="Z34" s="207" t="s">
        <v>1133</v>
      </c>
      <c r="AA34" s="207" t="s">
        <v>111</v>
      </c>
      <c r="AB34" s="972" t="s">
        <v>242</v>
      </c>
      <c r="AC34" s="1013" t="s">
        <v>59</v>
      </c>
      <c r="AD34" s="206" t="s">
        <v>67</v>
      </c>
      <c r="AE34" s="1001" t="s">
        <v>119</v>
      </c>
      <c r="AF34" s="1001" t="s">
        <v>376</v>
      </c>
    </row>
    <row r="35" spans="1:32" s="970" customFormat="1" ht="26.4" outlineLevel="1" x14ac:dyDescent="0.25">
      <c r="A35" s="219" t="s">
        <v>188</v>
      </c>
      <c r="B35" s="1331" t="s">
        <v>370</v>
      </c>
      <c r="C35" s="1332" t="s">
        <v>275</v>
      </c>
      <c r="D35" s="1333" t="s">
        <v>563</v>
      </c>
      <c r="E35" s="1334" t="s">
        <v>13</v>
      </c>
      <c r="F35" s="1335" t="s">
        <v>13</v>
      </c>
      <c r="G35" s="1336">
        <f>20000-8296-1492.45915+108.37428+0.086+1-2.00226</f>
        <v>10318.998869999999</v>
      </c>
      <c r="H35" s="1129">
        <f>10211.54085-1.00113</f>
        <v>10210.539719999999</v>
      </c>
      <c r="I35" s="1130">
        <v>0</v>
      </c>
      <c r="J35" s="1131">
        <v>108.45914999999999</v>
      </c>
      <c r="K35" s="1132">
        <v>0</v>
      </c>
      <c r="L35" s="1133">
        <f t="shared" si="8"/>
        <v>108.45914999999999</v>
      </c>
      <c r="M35" s="1134">
        <v>109.46028</v>
      </c>
      <c r="N35" s="203">
        <f>0-1.00113</f>
        <v>-1.0011300000000001</v>
      </c>
      <c r="O35" s="1497">
        <f t="shared" si="3"/>
        <v>108.45914999999999</v>
      </c>
      <c r="P35" s="1134">
        <v>0</v>
      </c>
      <c r="Q35" s="1134">
        <v>0</v>
      </c>
      <c r="R35" s="1132">
        <v>0</v>
      </c>
      <c r="S35" s="1498">
        <v>0</v>
      </c>
      <c r="T35" s="1499">
        <v>0</v>
      </c>
      <c r="U35" s="1132">
        <v>0</v>
      </c>
      <c r="V35" s="1500">
        <v>0</v>
      </c>
      <c r="W35" s="1500">
        <v>0</v>
      </c>
      <c r="X35" s="1498">
        <v>0</v>
      </c>
      <c r="Y35" s="1501">
        <v>0</v>
      </c>
      <c r="Z35" s="1502" t="s">
        <v>89</v>
      </c>
      <c r="AA35" s="1333" t="s">
        <v>62</v>
      </c>
      <c r="AB35" s="1503" t="s">
        <v>425</v>
      </c>
      <c r="AC35" s="1504" t="s">
        <v>59</v>
      </c>
      <c r="AD35" s="1505" t="s">
        <v>67</v>
      </c>
      <c r="AE35" s="1335" t="s">
        <v>131</v>
      </c>
      <c r="AF35" s="1335" t="s">
        <v>375</v>
      </c>
    </row>
    <row r="36" spans="1:32" s="881" customFormat="1" ht="27" outlineLevel="1" thickBot="1" x14ac:dyDescent="0.3">
      <c r="A36" s="779" t="s">
        <v>190</v>
      </c>
      <c r="B36" s="1337" t="s">
        <v>646</v>
      </c>
      <c r="C36" s="1338" t="s">
        <v>189</v>
      </c>
      <c r="D36" s="1339" t="s">
        <v>563</v>
      </c>
      <c r="E36" s="1340" t="s">
        <v>13</v>
      </c>
      <c r="F36" s="1341" t="s">
        <v>13</v>
      </c>
      <c r="G36" s="1342">
        <f>4400+241+250+260</f>
        <v>5151</v>
      </c>
      <c r="H36" s="1135">
        <v>3440.7736700000005</v>
      </c>
      <c r="I36" s="1136">
        <v>154.88</v>
      </c>
      <c r="J36" s="1137">
        <v>91.41516</v>
      </c>
      <c r="K36" s="1138">
        <v>154.88</v>
      </c>
      <c r="L36" s="1139">
        <f t="shared" si="8"/>
        <v>1555.3463299999994</v>
      </c>
      <c r="M36" s="1140">
        <v>1450.2263299999995</v>
      </c>
      <c r="N36" s="780">
        <v>260</v>
      </c>
      <c r="O36" s="1506">
        <f t="shared" si="3"/>
        <v>1710.2263299999995</v>
      </c>
      <c r="P36" s="1169">
        <v>0</v>
      </c>
      <c r="Q36" s="1169">
        <v>0</v>
      </c>
      <c r="R36" s="1138">
        <v>0</v>
      </c>
      <c r="S36" s="1507">
        <v>0</v>
      </c>
      <c r="T36" s="1508">
        <v>0</v>
      </c>
      <c r="U36" s="1138">
        <v>0</v>
      </c>
      <c r="V36" s="1509">
        <v>0</v>
      </c>
      <c r="W36" s="1509">
        <v>0</v>
      </c>
      <c r="X36" s="1507">
        <v>0</v>
      </c>
      <c r="Y36" s="1139">
        <v>0</v>
      </c>
      <c r="Z36" s="1370" t="s">
        <v>999</v>
      </c>
      <c r="AA36" s="1339" t="s">
        <v>111</v>
      </c>
      <c r="AB36" s="1510" t="s">
        <v>242</v>
      </c>
      <c r="AC36" s="1511" t="s">
        <v>59</v>
      </c>
      <c r="AD36" s="1512" t="s">
        <v>67</v>
      </c>
      <c r="AE36" s="1341" t="s">
        <v>119</v>
      </c>
      <c r="AF36" s="1341" t="s">
        <v>375</v>
      </c>
    </row>
    <row r="37" spans="1:32" ht="26.4" outlineLevel="1" x14ac:dyDescent="0.25">
      <c r="A37" s="997" t="s">
        <v>238</v>
      </c>
      <c r="B37" s="1343" t="s">
        <v>534</v>
      </c>
      <c r="C37" s="1326" t="s">
        <v>239</v>
      </c>
      <c r="D37" s="1327" t="s">
        <v>898</v>
      </c>
      <c r="E37" s="1328" t="s">
        <v>13</v>
      </c>
      <c r="F37" s="1329" t="s">
        <v>13</v>
      </c>
      <c r="G37" s="1330">
        <f>4786+973+301+500-560</f>
        <v>6000</v>
      </c>
      <c r="H37" s="1123">
        <v>5770.40679</v>
      </c>
      <c r="I37" s="1124">
        <v>0</v>
      </c>
      <c r="J37" s="1125">
        <v>0</v>
      </c>
      <c r="K37" s="1126">
        <v>0</v>
      </c>
      <c r="L37" s="1127">
        <f t="shared" si="8"/>
        <v>229.59321</v>
      </c>
      <c r="M37" s="1141">
        <v>789.59321</v>
      </c>
      <c r="N37" s="958">
        <v>-560</v>
      </c>
      <c r="O37" s="1490">
        <f t="shared" si="3"/>
        <v>229.59321</v>
      </c>
      <c r="P37" s="1128">
        <v>0</v>
      </c>
      <c r="Q37" s="1128">
        <v>0</v>
      </c>
      <c r="R37" s="1126">
        <v>0</v>
      </c>
      <c r="S37" s="1491">
        <v>0</v>
      </c>
      <c r="T37" s="1492">
        <v>0</v>
      </c>
      <c r="U37" s="1126">
        <v>0</v>
      </c>
      <c r="V37" s="1493">
        <v>0</v>
      </c>
      <c r="W37" s="1493">
        <v>0</v>
      </c>
      <c r="X37" s="1491">
        <v>0</v>
      </c>
      <c r="Y37" s="1127">
        <v>0</v>
      </c>
      <c r="Z37" s="1513" t="s">
        <v>1000</v>
      </c>
      <c r="AA37" s="1327" t="s">
        <v>111</v>
      </c>
      <c r="AB37" s="1494" t="s">
        <v>242</v>
      </c>
      <c r="AC37" s="1495" t="s">
        <v>59</v>
      </c>
      <c r="AD37" s="1496" t="s">
        <v>67</v>
      </c>
      <c r="AE37" s="1329" t="s">
        <v>121</v>
      </c>
      <c r="AF37" s="1329" t="s">
        <v>376</v>
      </c>
    </row>
    <row r="38" spans="1:32" ht="26.4" outlineLevel="1" x14ac:dyDescent="0.25">
      <c r="A38" s="371" t="s">
        <v>296</v>
      </c>
      <c r="B38" s="372" t="s">
        <v>371</v>
      </c>
      <c r="C38" s="1014" t="s">
        <v>836</v>
      </c>
      <c r="D38" s="35" t="s">
        <v>317</v>
      </c>
      <c r="E38" s="47" t="s">
        <v>13</v>
      </c>
      <c r="F38" s="869" t="s">
        <v>13</v>
      </c>
      <c r="G38" s="39">
        <f>10042+4000+520+5831+4961</f>
        <v>25354</v>
      </c>
      <c r="H38" s="145">
        <v>392.74757</v>
      </c>
      <c r="I38" s="976">
        <v>0</v>
      </c>
      <c r="J38" s="990">
        <v>0</v>
      </c>
      <c r="K38" s="378">
        <v>0</v>
      </c>
      <c r="L38" s="336">
        <f t="shared" si="8"/>
        <v>0.25243000000045868</v>
      </c>
      <c r="M38" s="130">
        <v>24961.25243</v>
      </c>
      <c r="N38" s="547">
        <v>-24961</v>
      </c>
      <c r="O38" s="547">
        <f t="shared" si="3"/>
        <v>0.25243000000045868</v>
      </c>
      <c r="P38" s="130">
        <v>24961</v>
      </c>
      <c r="Q38" s="130">
        <v>0</v>
      </c>
      <c r="R38" s="378">
        <v>0</v>
      </c>
      <c r="S38" s="741">
        <v>0</v>
      </c>
      <c r="T38" s="380">
        <v>0</v>
      </c>
      <c r="U38" s="378">
        <v>0</v>
      </c>
      <c r="V38" s="379">
        <v>0</v>
      </c>
      <c r="W38" s="379">
        <v>0</v>
      </c>
      <c r="X38" s="741">
        <v>0</v>
      </c>
      <c r="Y38" s="336">
        <v>0</v>
      </c>
      <c r="Z38" s="257" t="s">
        <v>1078</v>
      </c>
      <c r="AA38" s="35" t="s">
        <v>9</v>
      </c>
      <c r="AB38" s="797" t="s">
        <v>674</v>
      </c>
      <c r="AC38" s="381" t="s">
        <v>59</v>
      </c>
      <c r="AD38" s="109" t="s">
        <v>67</v>
      </c>
      <c r="AE38" s="869" t="s">
        <v>138</v>
      </c>
      <c r="AF38" s="869" t="s">
        <v>375</v>
      </c>
    </row>
    <row r="39" spans="1:32" s="873" customFormat="1" ht="27" outlineLevel="1" thickBot="1" x14ac:dyDescent="0.3">
      <c r="A39" s="616" t="s">
        <v>297</v>
      </c>
      <c r="B39" s="1345" t="s">
        <v>624</v>
      </c>
      <c r="C39" s="1346" t="s">
        <v>298</v>
      </c>
      <c r="D39" s="1347" t="s">
        <v>317</v>
      </c>
      <c r="E39" s="1348" t="s">
        <v>13</v>
      </c>
      <c r="F39" s="1349" t="s">
        <v>13</v>
      </c>
      <c r="G39" s="1350">
        <f>7000+400-2900-415</f>
        <v>4085</v>
      </c>
      <c r="H39" s="1142">
        <v>4004.9172199999998</v>
      </c>
      <c r="I39" s="1143">
        <v>0</v>
      </c>
      <c r="J39" s="1144">
        <v>0</v>
      </c>
      <c r="K39" s="1145">
        <v>0</v>
      </c>
      <c r="L39" s="1146">
        <f t="shared" ref="L39:L57" si="9">O39-K39</f>
        <v>80.082780000000184</v>
      </c>
      <c r="M39" s="1147">
        <v>495.08278000000018</v>
      </c>
      <c r="N39" s="1015">
        <v>-415</v>
      </c>
      <c r="O39" s="1518">
        <f t="shared" si="3"/>
        <v>80.082780000000184</v>
      </c>
      <c r="P39" s="1147">
        <v>0</v>
      </c>
      <c r="Q39" s="1177">
        <v>0</v>
      </c>
      <c r="R39" s="1175">
        <v>0</v>
      </c>
      <c r="S39" s="1519">
        <v>0</v>
      </c>
      <c r="T39" s="1520">
        <v>0</v>
      </c>
      <c r="U39" s="1175">
        <v>0</v>
      </c>
      <c r="V39" s="1521">
        <v>0</v>
      </c>
      <c r="W39" s="1521">
        <v>0</v>
      </c>
      <c r="X39" s="1519">
        <v>0</v>
      </c>
      <c r="Y39" s="1522">
        <v>0</v>
      </c>
      <c r="Z39" s="1523" t="s">
        <v>1079</v>
      </c>
      <c r="AA39" s="1347" t="s">
        <v>111</v>
      </c>
      <c r="AB39" s="1524" t="s">
        <v>582</v>
      </c>
      <c r="AC39" s="1525" t="s">
        <v>59</v>
      </c>
      <c r="AD39" s="1526" t="s">
        <v>67</v>
      </c>
      <c r="AE39" s="1349" t="s">
        <v>121</v>
      </c>
      <c r="AF39" s="1349" t="s">
        <v>376</v>
      </c>
    </row>
    <row r="40" spans="1:32" ht="31.2" outlineLevel="1" x14ac:dyDescent="0.25">
      <c r="A40" s="211" t="s">
        <v>326</v>
      </c>
      <c r="B40" s="1294" t="s">
        <v>642</v>
      </c>
      <c r="C40" s="1351" t="s">
        <v>327</v>
      </c>
      <c r="D40" s="1295" t="s">
        <v>547</v>
      </c>
      <c r="E40" s="1296" t="s">
        <v>13</v>
      </c>
      <c r="F40" s="1352" t="s">
        <v>13</v>
      </c>
      <c r="G40" s="1250">
        <f>42000+2176+724</f>
        <v>44900</v>
      </c>
      <c r="H40" s="1093">
        <v>19675.784759999999</v>
      </c>
      <c r="I40" s="1085">
        <v>8663.8553400000001</v>
      </c>
      <c r="J40" s="1089">
        <v>9613.3065299999998</v>
      </c>
      <c r="K40" s="1114">
        <v>8663.8553400000001</v>
      </c>
      <c r="L40" s="1087">
        <f t="shared" si="9"/>
        <v>15060.359900000001</v>
      </c>
      <c r="M40" s="1084">
        <v>23724.215240000001</v>
      </c>
      <c r="N40" s="213">
        <v>0</v>
      </c>
      <c r="O40" s="1287">
        <f t="shared" si="3"/>
        <v>23724.215240000001</v>
      </c>
      <c r="P40" s="1084">
        <v>0</v>
      </c>
      <c r="Q40" s="1084">
        <v>0</v>
      </c>
      <c r="R40" s="1114">
        <v>0</v>
      </c>
      <c r="S40" s="1461">
        <v>1500</v>
      </c>
      <c r="T40" s="1288">
        <v>0</v>
      </c>
      <c r="U40" s="1114">
        <f>25000+17676+724</f>
        <v>43400</v>
      </c>
      <c r="V40" s="1086">
        <v>19675.784760000002</v>
      </c>
      <c r="W40" s="1086">
        <f>8663.85534+232.82487+150.887</f>
        <v>9047.5672100000011</v>
      </c>
      <c r="X40" s="1461">
        <f>5324.21524+17676-47+771</f>
        <v>23724.215240000001</v>
      </c>
      <c r="Y40" s="1115">
        <v>0</v>
      </c>
      <c r="Z40" s="1516" t="s">
        <v>52</v>
      </c>
      <c r="AA40" s="1295" t="s">
        <v>9</v>
      </c>
      <c r="AB40" s="1462" t="s">
        <v>582</v>
      </c>
      <c r="AC40" s="1462" t="s">
        <v>59</v>
      </c>
      <c r="AD40" s="1462" t="s">
        <v>67</v>
      </c>
      <c r="AE40" s="1297" t="s">
        <v>121</v>
      </c>
      <c r="AF40" s="1297"/>
    </row>
    <row r="41" spans="1:32" ht="26.4" outlineLevel="1" x14ac:dyDescent="0.25">
      <c r="A41" s="633" t="s">
        <v>328</v>
      </c>
      <c r="B41" s="1353" t="s">
        <v>465</v>
      </c>
      <c r="C41" s="1354" t="s">
        <v>329</v>
      </c>
      <c r="D41" s="1355" t="s">
        <v>547</v>
      </c>
      <c r="E41" s="1356" t="s">
        <v>13</v>
      </c>
      <c r="F41" s="1357" t="s">
        <v>13</v>
      </c>
      <c r="G41" s="1358">
        <f>62341+1600</f>
        <v>63941</v>
      </c>
      <c r="H41" s="1148">
        <v>2797.4569899999997</v>
      </c>
      <c r="I41" s="1149">
        <v>2761.2877099999996</v>
      </c>
      <c r="J41" s="1150">
        <v>39948.446519999998</v>
      </c>
      <c r="K41" s="1151">
        <v>2761.2877099999996</v>
      </c>
      <c r="L41" s="1152">
        <f t="shared" si="9"/>
        <v>48838.255300000004</v>
      </c>
      <c r="M41" s="1153">
        <v>49999.543010000001</v>
      </c>
      <c r="N41" s="634">
        <v>1600</v>
      </c>
      <c r="O41" s="1527">
        <f t="shared" si="3"/>
        <v>51599.543010000001</v>
      </c>
      <c r="P41" s="1153">
        <v>9544</v>
      </c>
      <c r="Q41" s="1153">
        <v>0</v>
      </c>
      <c r="R41" s="1151">
        <v>0</v>
      </c>
      <c r="S41" s="1528">
        <v>0</v>
      </c>
      <c r="T41" s="1529">
        <v>0</v>
      </c>
      <c r="U41" s="1151">
        <v>0</v>
      </c>
      <c r="V41" s="1530">
        <v>0</v>
      </c>
      <c r="W41" s="1530">
        <v>0</v>
      </c>
      <c r="X41" s="1528">
        <v>0</v>
      </c>
      <c r="Y41" s="1152">
        <v>0</v>
      </c>
      <c r="Z41" s="1531" t="s">
        <v>1001</v>
      </c>
      <c r="AA41" s="1457" t="s">
        <v>9</v>
      </c>
      <c r="AB41" s="1532" t="s">
        <v>674</v>
      </c>
      <c r="AC41" s="1533" t="s">
        <v>59</v>
      </c>
      <c r="AD41" s="1533" t="s">
        <v>67</v>
      </c>
      <c r="AE41" s="1534" t="s">
        <v>340</v>
      </c>
      <c r="AF41" s="1534"/>
    </row>
    <row r="42" spans="1:32" ht="43.2" outlineLevel="1" x14ac:dyDescent="0.3">
      <c r="A42" s="382" t="s">
        <v>331</v>
      </c>
      <c r="B42" s="383" t="s">
        <v>54</v>
      </c>
      <c r="C42" s="1016" t="s">
        <v>697</v>
      </c>
      <c r="D42" s="35" t="s">
        <v>547</v>
      </c>
      <c r="E42" s="28" t="s">
        <v>13</v>
      </c>
      <c r="F42" s="903" t="s">
        <v>13</v>
      </c>
      <c r="G42" s="42">
        <v>21640</v>
      </c>
      <c r="H42" s="139">
        <v>0</v>
      </c>
      <c r="I42" s="879">
        <v>0</v>
      </c>
      <c r="J42" s="880">
        <v>1878.2929200000001</v>
      </c>
      <c r="K42" s="388">
        <v>0</v>
      </c>
      <c r="L42" s="720">
        <f t="shared" si="9"/>
        <v>4550</v>
      </c>
      <c r="M42" s="130">
        <v>4640</v>
      </c>
      <c r="N42" s="387">
        <v>-90</v>
      </c>
      <c r="O42" s="387">
        <f t="shared" si="3"/>
        <v>4550</v>
      </c>
      <c r="P42" s="385">
        <f>17000+90</f>
        <v>17090</v>
      </c>
      <c r="Q42" s="385">
        <v>0</v>
      </c>
      <c r="R42" s="388">
        <v>0</v>
      </c>
      <c r="S42" s="743">
        <v>0</v>
      </c>
      <c r="T42" s="390">
        <v>0</v>
      </c>
      <c r="U42" s="388">
        <v>0</v>
      </c>
      <c r="V42" s="389">
        <v>0</v>
      </c>
      <c r="W42" s="389">
        <v>0</v>
      </c>
      <c r="X42" s="743">
        <v>0</v>
      </c>
      <c r="Y42" s="720">
        <v>0</v>
      </c>
      <c r="Z42" s="258" t="s">
        <v>1080</v>
      </c>
      <c r="AA42" s="36" t="s">
        <v>9</v>
      </c>
      <c r="AB42" s="44" t="s">
        <v>582</v>
      </c>
      <c r="AC42" s="44" t="s">
        <v>59</v>
      </c>
      <c r="AD42" s="44" t="s">
        <v>67</v>
      </c>
      <c r="AE42" s="1017" t="s">
        <v>333</v>
      </c>
      <c r="AF42" s="1018"/>
    </row>
    <row r="43" spans="1:32" ht="26.4" outlineLevel="1" x14ac:dyDescent="0.25">
      <c r="A43" s="633" t="s">
        <v>332</v>
      </c>
      <c r="B43" s="1353" t="s">
        <v>641</v>
      </c>
      <c r="C43" s="1354" t="s">
        <v>468</v>
      </c>
      <c r="D43" s="1355" t="s">
        <v>547</v>
      </c>
      <c r="E43" s="1356" t="s">
        <v>13</v>
      </c>
      <c r="F43" s="1357" t="s">
        <v>13</v>
      </c>
      <c r="G43" s="1358">
        <f>21000+737+300</f>
        <v>22037</v>
      </c>
      <c r="H43" s="1148">
        <v>10547.956530000001</v>
      </c>
      <c r="I43" s="1149">
        <v>667.41714999999999</v>
      </c>
      <c r="J43" s="1150">
        <v>736.58763999999996</v>
      </c>
      <c r="K43" s="1151">
        <v>667.41714999999999</v>
      </c>
      <c r="L43" s="1154">
        <f t="shared" si="9"/>
        <v>10821.626319999999</v>
      </c>
      <c r="M43" s="1153">
        <v>11189.043469999999</v>
      </c>
      <c r="N43" s="634">
        <v>300</v>
      </c>
      <c r="O43" s="1535">
        <f t="shared" si="3"/>
        <v>11489.043469999999</v>
      </c>
      <c r="P43" s="1153">
        <v>0</v>
      </c>
      <c r="Q43" s="1153">
        <v>0</v>
      </c>
      <c r="R43" s="1151">
        <v>0</v>
      </c>
      <c r="S43" s="1528">
        <v>0</v>
      </c>
      <c r="T43" s="1529">
        <v>0</v>
      </c>
      <c r="U43" s="1151">
        <v>0</v>
      </c>
      <c r="V43" s="1530">
        <v>0</v>
      </c>
      <c r="W43" s="1530">
        <v>0</v>
      </c>
      <c r="X43" s="1528">
        <v>0</v>
      </c>
      <c r="Y43" s="1152">
        <v>0</v>
      </c>
      <c r="Z43" s="1531" t="s">
        <v>1002</v>
      </c>
      <c r="AA43" s="1457" t="s">
        <v>111</v>
      </c>
      <c r="AB43" s="1532" t="s">
        <v>242</v>
      </c>
      <c r="AC43" s="1533" t="s">
        <v>59</v>
      </c>
      <c r="AD43" s="1533" t="s">
        <v>67</v>
      </c>
      <c r="AE43" s="1534" t="s">
        <v>134</v>
      </c>
      <c r="AF43" s="1534"/>
    </row>
    <row r="44" spans="1:32" ht="26.4" outlineLevel="1" x14ac:dyDescent="0.25">
      <c r="A44" s="633" t="s">
        <v>359</v>
      </c>
      <c r="B44" s="1353" t="s">
        <v>503</v>
      </c>
      <c r="C44" s="1354" t="s">
        <v>347</v>
      </c>
      <c r="D44" s="1355" t="s">
        <v>546</v>
      </c>
      <c r="E44" s="1359" t="s">
        <v>13</v>
      </c>
      <c r="F44" s="1360" t="s">
        <v>13</v>
      </c>
      <c r="G44" s="1358">
        <f>35000+450.846+5000+2200</f>
        <v>42650.845999999998</v>
      </c>
      <c r="H44" s="1148">
        <v>450.846</v>
      </c>
      <c r="I44" s="1149">
        <v>0</v>
      </c>
      <c r="J44" s="1150">
        <v>10059.014279999999</v>
      </c>
      <c r="K44" s="1151">
        <v>0</v>
      </c>
      <c r="L44" s="1152">
        <f t="shared" si="9"/>
        <v>42200</v>
      </c>
      <c r="M44" s="1153">
        <v>40000</v>
      </c>
      <c r="N44" s="634">
        <v>2200</v>
      </c>
      <c r="O44" s="1535">
        <f t="shared" si="3"/>
        <v>42200</v>
      </c>
      <c r="P44" s="1153">
        <v>0</v>
      </c>
      <c r="Q44" s="1153">
        <v>0</v>
      </c>
      <c r="R44" s="1151">
        <v>0</v>
      </c>
      <c r="S44" s="1528">
        <v>0</v>
      </c>
      <c r="T44" s="1536">
        <v>0</v>
      </c>
      <c r="U44" s="1151">
        <v>0</v>
      </c>
      <c r="V44" s="1530">
        <v>0</v>
      </c>
      <c r="W44" s="1530">
        <v>0</v>
      </c>
      <c r="X44" s="1528">
        <v>0</v>
      </c>
      <c r="Y44" s="1152">
        <v>0</v>
      </c>
      <c r="Z44" s="1537" t="s">
        <v>1003</v>
      </c>
      <c r="AA44" s="1457" t="s">
        <v>111</v>
      </c>
      <c r="AB44" s="1533" t="s">
        <v>242</v>
      </c>
      <c r="AC44" s="1533" t="s">
        <v>59</v>
      </c>
      <c r="AD44" s="1533" t="s">
        <v>67</v>
      </c>
      <c r="AE44" s="1534" t="s">
        <v>122</v>
      </c>
      <c r="AF44" s="1534"/>
    </row>
    <row r="45" spans="1:32" ht="26.4" outlineLevel="1" x14ac:dyDescent="0.25">
      <c r="A45" s="382" t="s">
        <v>360</v>
      </c>
      <c r="B45" s="383" t="s">
        <v>54</v>
      </c>
      <c r="C45" s="1016" t="s">
        <v>348</v>
      </c>
      <c r="D45" s="35" t="s">
        <v>546</v>
      </c>
      <c r="E45" s="47" t="s">
        <v>13</v>
      </c>
      <c r="F45" s="872" t="s">
        <v>13</v>
      </c>
      <c r="G45" s="42">
        <f>50000</f>
        <v>50000</v>
      </c>
      <c r="H45" s="139">
        <v>0</v>
      </c>
      <c r="I45" s="879">
        <v>0</v>
      </c>
      <c r="J45" s="880">
        <v>0</v>
      </c>
      <c r="K45" s="388">
        <v>0</v>
      </c>
      <c r="L45" s="720">
        <f t="shared" si="9"/>
        <v>0</v>
      </c>
      <c r="M45" s="385">
        <v>18000</v>
      </c>
      <c r="N45" s="387">
        <v>-18000</v>
      </c>
      <c r="O45" s="387">
        <f t="shared" si="3"/>
        <v>0</v>
      </c>
      <c r="P45" s="385">
        <f>13500+17000+18000</f>
        <v>48500</v>
      </c>
      <c r="Q45" s="385">
        <v>0</v>
      </c>
      <c r="R45" s="388">
        <v>0</v>
      </c>
      <c r="S45" s="743">
        <v>1500</v>
      </c>
      <c r="T45" s="719">
        <v>0</v>
      </c>
      <c r="U45" s="388">
        <v>0</v>
      </c>
      <c r="V45" s="389">
        <v>0</v>
      </c>
      <c r="W45" s="389">
        <v>0</v>
      </c>
      <c r="X45" s="743">
        <v>0</v>
      </c>
      <c r="Y45" s="720">
        <v>0</v>
      </c>
      <c r="Z45" s="258" t="s">
        <v>1081</v>
      </c>
      <c r="AA45" s="36" t="s">
        <v>9</v>
      </c>
      <c r="AB45" s="44" t="s">
        <v>674</v>
      </c>
      <c r="AC45" s="44" t="s">
        <v>59</v>
      </c>
      <c r="AD45" s="44" t="s">
        <v>67</v>
      </c>
      <c r="AE45" s="878" t="s">
        <v>127</v>
      </c>
      <c r="AF45" s="878"/>
    </row>
    <row r="46" spans="1:32" ht="26.4" outlineLevel="1" x14ac:dyDescent="0.25">
      <c r="A46" s="382" t="s">
        <v>361</v>
      </c>
      <c r="B46" s="383" t="s">
        <v>637</v>
      </c>
      <c r="C46" s="1016" t="s">
        <v>349</v>
      </c>
      <c r="D46" s="35" t="s">
        <v>546</v>
      </c>
      <c r="E46" s="47" t="s">
        <v>13</v>
      </c>
      <c r="F46" s="872" t="s">
        <v>13</v>
      </c>
      <c r="G46" s="42">
        <f>18330+1662</f>
        <v>19992</v>
      </c>
      <c r="H46" s="139">
        <v>7891.5039199999992</v>
      </c>
      <c r="I46" s="879">
        <v>0</v>
      </c>
      <c r="J46" s="880">
        <v>4436.8649800000003</v>
      </c>
      <c r="K46" s="388">
        <v>0</v>
      </c>
      <c r="L46" s="579">
        <f t="shared" si="9"/>
        <v>8000.4960800000008</v>
      </c>
      <c r="M46" s="385">
        <v>12100.496080000001</v>
      </c>
      <c r="N46" s="387">
        <v>-4100</v>
      </c>
      <c r="O46" s="387">
        <f t="shared" si="3"/>
        <v>8000.4960800000008</v>
      </c>
      <c r="P46" s="385">
        <v>4100</v>
      </c>
      <c r="Q46" s="385">
        <v>0</v>
      </c>
      <c r="R46" s="388">
        <v>0</v>
      </c>
      <c r="S46" s="743">
        <v>0</v>
      </c>
      <c r="T46" s="719">
        <v>0</v>
      </c>
      <c r="U46" s="388">
        <v>0</v>
      </c>
      <c r="V46" s="389">
        <v>0</v>
      </c>
      <c r="W46" s="389">
        <v>0</v>
      </c>
      <c r="X46" s="743">
        <v>0</v>
      </c>
      <c r="Y46" s="720">
        <v>0</v>
      </c>
      <c r="Z46" s="258" t="s">
        <v>1082</v>
      </c>
      <c r="AA46" s="36" t="s">
        <v>111</v>
      </c>
      <c r="AB46" s="44" t="s">
        <v>242</v>
      </c>
      <c r="AC46" s="44" t="s">
        <v>59</v>
      </c>
      <c r="AD46" s="44" t="s">
        <v>67</v>
      </c>
      <c r="AE46" s="878" t="s">
        <v>127</v>
      </c>
      <c r="AF46" s="878"/>
    </row>
    <row r="47" spans="1:32" s="970" customFormat="1" ht="26.4" outlineLevel="1" x14ac:dyDescent="0.25">
      <c r="A47" s="216" t="s">
        <v>362</v>
      </c>
      <c r="B47" s="1361" t="s">
        <v>645</v>
      </c>
      <c r="C47" s="1362" t="s">
        <v>426</v>
      </c>
      <c r="D47" s="1333" t="s">
        <v>546</v>
      </c>
      <c r="E47" s="1334" t="s">
        <v>13</v>
      </c>
      <c r="F47" s="1363" t="s">
        <v>13</v>
      </c>
      <c r="G47" s="1364">
        <f>36360-11060+1054-34-0.57875</f>
        <v>26319.421249999999</v>
      </c>
      <c r="H47" s="1155">
        <v>25153.893639999998</v>
      </c>
      <c r="I47" s="1156">
        <v>831.56760999999995</v>
      </c>
      <c r="J47" s="1157">
        <v>333.96</v>
      </c>
      <c r="K47" s="1158">
        <v>831.56760999999995</v>
      </c>
      <c r="L47" s="1159">
        <f t="shared" si="9"/>
        <v>333.96000000000015</v>
      </c>
      <c r="M47" s="1160">
        <v>1166.10636</v>
      </c>
      <c r="N47" s="217">
        <f>0-0.57875</f>
        <v>-0.57874999999999999</v>
      </c>
      <c r="O47" s="1396">
        <f t="shared" si="3"/>
        <v>1165.5276100000001</v>
      </c>
      <c r="P47" s="1160">
        <v>0</v>
      </c>
      <c r="Q47" s="1160">
        <v>0</v>
      </c>
      <c r="R47" s="1158">
        <v>0</v>
      </c>
      <c r="S47" s="1538">
        <v>0</v>
      </c>
      <c r="T47" s="1191">
        <v>0</v>
      </c>
      <c r="U47" s="1158">
        <v>0</v>
      </c>
      <c r="V47" s="1192">
        <v>0</v>
      </c>
      <c r="W47" s="1192">
        <v>0</v>
      </c>
      <c r="X47" s="1538">
        <v>0</v>
      </c>
      <c r="Y47" s="1159">
        <v>0</v>
      </c>
      <c r="Z47" s="1539" t="s">
        <v>89</v>
      </c>
      <c r="AA47" s="1390" t="s">
        <v>62</v>
      </c>
      <c r="AB47" s="1540" t="s">
        <v>284</v>
      </c>
      <c r="AC47" s="1540" t="s">
        <v>59</v>
      </c>
      <c r="AD47" s="1540" t="s">
        <v>67</v>
      </c>
      <c r="AE47" s="1434" t="s">
        <v>137</v>
      </c>
      <c r="AF47" s="1434"/>
    </row>
    <row r="48" spans="1:32" s="970" customFormat="1" ht="26.4" outlineLevel="1" x14ac:dyDescent="0.25">
      <c r="A48" s="216" t="s">
        <v>363</v>
      </c>
      <c r="B48" s="1361" t="s">
        <v>626</v>
      </c>
      <c r="C48" s="1362" t="s">
        <v>350</v>
      </c>
      <c r="D48" s="1333" t="s">
        <v>546</v>
      </c>
      <c r="E48" s="1334" t="s">
        <v>13</v>
      </c>
      <c r="F48" s="1363" t="s">
        <v>13</v>
      </c>
      <c r="G48" s="1364">
        <f>19800-8200+90+1-0.99982</f>
        <v>11690.000179999999</v>
      </c>
      <c r="H48" s="1155">
        <v>10674.44932</v>
      </c>
      <c r="I48" s="1156">
        <v>0</v>
      </c>
      <c r="J48" s="1157">
        <v>1015.5508599999999</v>
      </c>
      <c r="K48" s="1158">
        <v>0</v>
      </c>
      <c r="L48" s="1159">
        <f t="shared" si="9"/>
        <v>1015.5508600000003</v>
      </c>
      <c r="M48" s="1134">
        <v>1016.5506800000003</v>
      </c>
      <c r="N48" s="217">
        <f>0-0.99982</f>
        <v>-0.99982000000000004</v>
      </c>
      <c r="O48" s="1396">
        <f t="shared" si="3"/>
        <v>1015.5508600000003</v>
      </c>
      <c r="P48" s="1160">
        <v>0</v>
      </c>
      <c r="Q48" s="1160">
        <v>0</v>
      </c>
      <c r="R48" s="1158">
        <v>0</v>
      </c>
      <c r="S48" s="1538">
        <v>0</v>
      </c>
      <c r="T48" s="1191">
        <v>0</v>
      </c>
      <c r="U48" s="1158">
        <v>0</v>
      </c>
      <c r="V48" s="1192">
        <v>0</v>
      </c>
      <c r="W48" s="1192">
        <v>0</v>
      </c>
      <c r="X48" s="1538">
        <v>0</v>
      </c>
      <c r="Y48" s="1159">
        <v>0</v>
      </c>
      <c r="Z48" s="1539" t="s">
        <v>89</v>
      </c>
      <c r="AA48" s="1390" t="s">
        <v>62</v>
      </c>
      <c r="AB48" s="1540" t="s">
        <v>284</v>
      </c>
      <c r="AC48" s="1540" t="s">
        <v>59</v>
      </c>
      <c r="AD48" s="1540" t="s">
        <v>67</v>
      </c>
      <c r="AE48" s="1434" t="s">
        <v>137</v>
      </c>
      <c r="AF48" s="1434"/>
    </row>
    <row r="49" spans="1:32" ht="26.4" outlineLevel="1" x14ac:dyDescent="0.25">
      <c r="A49" s="382" t="s">
        <v>364</v>
      </c>
      <c r="B49" s="383" t="s">
        <v>652</v>
      </c>
      <c r="C49" s="1016" t="s">
        <v>351</v>
      </c>
      <c r="D49" s="35" t="s">
        <v>546</v>
      </c>
      <c r="E49" s="47" t="s">
        <v>13</v>
      </c>
      <c r="F49" s="872" t="s">
        <v>13</v>
      </c>
      <c r="G49" s="42">
        <f>25000-12256</f>
        <v>12744</v>
      </c>
      <c r="H49" s="139">
        <v>4744.1605099999997</v>
      </c>
      <c r="I49" s="879">
        <v>642.99825999999996</v>
      </c>
      <c r="J49" s="880">
        <v>0</v>
      </c>
      <c r="K49" s="388">
        <v>642.99825999999996</v>
      </c>
      <c r="L49" s="579">
        <f t="shared" si="9"/>
        <v>-1.4779288903810084E-12</v>
      </c>
      <c r="M49" s="385">
        <v>5999.8394899999985</v>
      </c>
      <c r="N49" s="387">
        <f>-6000+643+0.15877</f>
        <v>-5356.84123</v>
      </c>
      <c r="O49" s="387">
        <f t="shared" si="3"/>
        <v>642.99825999999848</v>
      </c>
      <c r="P49" s="385">
        <f>2000+6000-643-0.15877</f>
        <v>7356.84123</v>
      </c>
      <c r="Q49" s="385">
        <v>0</v>
      </c>
      <c r="R49" s="388">
        <v>0</v>
      </c>
      <c r="S49" s="743">
        <v>0</v>
      </c>
      <c r="T49" s="719">
        <v>0</v>
      </c>
      <c r="U49" s="388">
        <v>0</v>
      </c>
      <c r="V49" s="389">
        <v>0</v>
      </c>
      <c r="W49" s="389">
        <v>0</v>
      </c>
      <c r="X49" s="743">
        <v>0</v>
      </c>
      <c r="Y49" s="720">
        <v>0</v>
      </c>
      <c r="Z49" s="281" t="s">
        <v>1083</v>
      </c>
      <c r="AA49" s="36" t="s">
        <v>9</v>
      </c>
      <c r="AB49" s="109" t="s">
        <v>755</v>
      </c>
      <c r="AC49" s="44" t="s">
        <v>59</v>
      </c>
      <c r="AD49" s="44" t="s">
        <v>67</v>
      </c>
      <c r="AE49" s="878" t="s">
        <v>120</v>
      </c>
      <c r="AF49" s="878"/>
    </row>
    <row r="50" spans="1:32" ht="26.4" outlineLevel="1" x14ac:dyDescent="0.25">
      <c r="A50" s="210" t="s">
        <v>365</v>
      </c>
      <c r="B50" s="1289" t="s">
        <v>655</v>
      </c>
      <c r="C50" s="1344" t="s">
        <v>352</v>
      </c>
      <c r="D50" s="1295" t="s">
        <v>546</v>
      </c>
      <c r="E50" s="1296" t="s">
        <v>13</v>
      </c>
      <c r="F50" s="1352" t="s">
        <v>13</v>
      </c>
      <c r="G50" s="1318">
        <f>20000-1500</f>
        <v>18500</v>
      </c>
      <c r="H50" s="1094">
        <v>3481.27504</v>
      </c>
      <c r="I50" s="1088">
        <v>5079.5589299999992</v>
      </c>
      <c r="J50" s="1095">
        <v>9485.7481599999992</v>
      </c>
      <c r="K50" s="1116">
        <v>5079.5589299999992</v>
      </c>
      <c r="L50" s="1096">
        <f t="shared" si="9"/>
        <v>9939.1660300000003</v>
      </c>
      <c r="M50" s="1092">
        <v>15018.72496</v>
      </c>
      <c r="N50" s="214">
        <v>0</v>
      </c>
      <c r="O50" s="1286">
        <f t="shared" si="3"/>
        <v>15018.72496</v>
      </c>
      <c r="P50" s="1092">
        <v>0</v>
      </c>
      <c r="Q50" s="1092">
        <v>0</v>
      </c>
      <c r="R50" s="1116">
        <v>0</v>
      </c>
      <c r="S50" s="1463">
        <v>0</v>
      </c>
      <c r="T50" s="1188">
        <v>0</v>
      </c>
      <c r="U50" s="1116">
        <v>0</v>
      </c>
      <c r="V50" s="1090">
        <v>0</v>
      </c>
      <c r="W50" s="1090">
        <v>0</v>
      </c>
      <c r="X50" s="1463">
        <v>0</v>
      </c>
      <c r="Y50" s="1091">
        <v>0</v>
      </c>
      <c r="Z50" s="1517" t="s">
        <v>52</v>
      </c>
      <c r="AA50" s="1290" t="s">
        <v>111</v>
      </c>
      <c r="AB50" s="1460" t="s">
        <v>242</v>
      </c>
      <c r="AC50" s="1460" t="s">
        <v>59</v>
      </c>
      <c r="AD50" s="1460" t="s">
        <v>67</v>
      </c>
      <c r="AE50" s="1292" t="s">
        <v>120</v>
      </c>
      <c r="AF50" s="1292"/>
    </row>
    <row r="51" spans="1:32" ht="26.4" outlineLevel="1" x14ac:dyDescent="0.25">
      <c r="A51" s="1019" t="s">
        <v>366</v>
      </c>
      <c r="B51" s="1020" t="s">
        <v>625</v>
      </c>
      <c r="C51" s="1021" t="s">
        <v>353</v>
      </c>
      <c r="D51" s="350" t="s">
        <v>546</v>
      </c>
      <c r="E51" s="204" t="s">
        <v>13</v>
      </c>
      <c r="F51" s="1022" t="s">
        <v>13</v>
      </c>
      <c r="G51" s="1023">
        <f>21000+875</f>
        <v>21875</v>
      </c>
      <c r="H51" s="1024">
        <v>14054.68021</v>
      </c>
      <c r="I51" s="1025">
        <v>4983.7918399999999</v>
      </c>
      <c r="J51" s="1026">
        <v>0</v>
      </c>
      <c r="K51" s="962">
        <v>4983.7918399999999</v>
      </c>
      <c r="L51" s="1027">
        <f t="shared" si="9"/>
        <v>2836.5279499999997</v>
      </c>
      <c r="M51" s="971">
        <v>5500.3197899999996</v>
      </c>
      <c r="N51" s="461">
        <v>2320</v>
      </c>
      <c r="O51" s="461">
        <f t="shared" si="3"/>
        <v>7820.3197899999996</v>
      </c>
      <c r="P51" s="971">
        <v>0</v>
      </c>
      <c r="Q51" s="971">
        <v>0</v>
      </c>
      <c r="R51" s="962">
        <v>0</v>
      </c>
      <c r="S51" s="964">
        <v>0</v>
      </c>
      <c r="T51" s="1028">
        <v>0</v>
      </c>
      <c r="U51" s="962">
        <v>0</v>
      </c>
      <c r="V51" s="963">
        <v>0</v>
      </c>
      <c r="W51" s="963">
        <v>0</v>
      </c>
      <c r="X51" s="964">
        <v>0</v>
      </c>
      <c r="Y51" s="1029">
        <v>0</v>
      </c>
      <c r="Z51" s="259" t="s">
        <v>1134</v>
      </c>
      <c r="AA51" s="37" t="s">
        <v>111</v>
      </c>
      <c r="AB51" s="116" t="s">
        <v>242</v>
      </c>
      <c r="AC51" s="116" t="s">
        <v>59</v>
      </c>
      <c r="AD51" s="116" t="s">
        <v>67</v>
      </c>
      <c r="AE51" s="1030" t="s">
        <v>129</v>
      </c>
      <c r="AF51" s="1030"/>
    </row>
    <row r="52" spans="1:32" ht="26.4" outlineLevel="1" x14ac:dyDescent="0.25">
      <c r="A52" s="382" t="s">
        <v>367</v>
      </c>
      <c r="B52" s="383" t="s">
        <v>653</v>
      </c>
      <c r="C52" s="1016" t="s">
        <v>698</v>
      </c>
      <c r="D52" s="35" t="s">
        <v>546</v>
      </c>
      <c r="E52" s="47" t="s">
        <v>13</v>
      </c>
      <c r="F52" s="872" t="s">
        <v>13</v>
      </c>
      <c r="G52" s="42">
        <f>23000+4330-13592</f>
        <v>13738</v>
      </c>
      <c r="H52" s="139">
        <v>92.927999999999997</v>
      </c>
      <c r="I52" s="879">
        <v>3365.7856099999999</v>
      </c>
      <c r="J52" s="880">
        <v>6237.0517099999997</v>
      </c>
      <c r="K52" s="388">
        <v>3365.7856099999999</v>
      </c>
      <c r="L52" s="579">
        <f t="shared" si="9"/>
        <v>10279.286390000001</v>
      </c>
      <c r="M52" s="385">
        <v>9000.0720000000001</v>
      </c>
      <c r="N52" s="387">
        <v>4645</v>
      </c>
      <c r="O52" s="387">
        <f t="shared" si="3"/>
        <v>13645.072</v>
      </c>
      <c r="P52" s="385">
        <v>0</v>
      </c>
      <c r="Q52" s="385">
        <v>0</v>
      </c>
      <c r="R52" s="388">
        <v>0</v>
      </c>
      <c r="S52" s="743">
        <v>0</v>
      </c>
      <c r="T52" s="719">
        <v>0</v>
      </c>
      <c r="U52" s="388">
        <v>0</v>
      </c>
      <c r="V52" s="389">
        <v>0</v>
      </c>
      <c r="W52" s="389">
        <v>0</v>
      </c>
      <c r="X52" s="743">
        <v>0</v>
      </c>
      <c r="Y52" s="720">
        <v>0</v>
      </c>
      <c r="Z52" s="258" t="s">
        <v>1084</v>
      </c>
      <c r="AA52" s="36" t="s">
        <v>9</v>
      </c>
      <c r="AB52" s="44" t="s">
        <v>242</v>
      </c>
      <c r="AC52" s="44" t="s">
        <v>59</v>
      </c>
      <c r="AD52" s="44" t="s">
        <v>67</v>
      </c>
      <c r="AE52" s="878" t="s">
        <v>340</v>
      </c>
      <c r="AF52" s="878"/>
    </row>
    <row r="53" spans="1:32" ht="26.4" outlineLevel="1" x14ac:dyDescent="0.25">
      <c r="A53" s="608" t="s">
        <v>368</v>
      </c>
      <c r="B53" s="1365" t="s">
        <v>643</v>
      </c>
      <c r="C53" s="1366" t="s">
        <v>699</v>
      </c>
      <c r="D53" s="1355" t="s">
        <v>546</v>
      </c>
      <c r="E53" s="1359" t="s">
        <v>13</v>
      </c>
      <c r="F53" s="1360" t="s">
        <v>13</v>
      </c>
      <c r="G53" s="1367">
        <f>10000-4471+957+200+210</f>
        <v>6896</v>
      </c>
      <c r="H53" s="1161">
        <v>85.849500000000006</v>
      </c>
      <c r="I53" s="1162">
        <v>0</v>
      </c>
      <c r="J53" s="1163">
        <v>0</v>
      </c>
      <c r="K53" s="1164">
        <v>0</v>
      </c>
      <c r="L53" s="1165">
        <f t="shared" si="9"/>
        <v>6810.1504999999997</v>
      </c>
      <c r="M53" s="1166">
        <v>6600.1504999999997</v>
      </c>
      <c r="N53" s="1031">
        <v>210</v>
      </c>
      <c r="O53" s="1527">
        <f t="shared" si="3"/>
        <v>6810.1504999999997</v>
      </c>
      <c r="P53" s="1166">
        <v>0</v>
      </c>
      <c r="Q53" s="1166">
        <v>0</v>
      </c>
      <c r="R53" s="1164">
        <v>0</v>
      </c>
      <c r="S53" s="1541">
        <v>0</v>
      </c>
      <c r="T53" s="1542">
        <v>0</v>
      </c>
      <c r="U53" s="1164">
        <v>0</v>
      </c>
      <c r="V53" s="1262">
        <v>0</v>
      </c>
      <c r="W53" s="1262">
        <v>0</v>
      </c>
      <c r="X53" s="1541">
        <v>0</v>
      </c>
      <c r="Y53" s="1543">
        <v>0</v>
      </c>
      <c r="Z53" s="1531" t="s">
        <v>1135</v>
      </c>
      <c r="AA53" s="1355" t="s">
        <v>111</v>
      </c>
      <c r="AB53" s="1532" t="s">
        <v>242</v>
      </c>
      <c r="AC53" s="1532" t="s">
        <v>59</v>
      </c>
      <c r="AD53" s="1532" t="s">
        <v>67</v>
      </c>
      <c r="AE53" s="1544" t="s">
        <v>119</v>
      </c>
      <c r="AF53" s="1544"/>
    </row>
    <row r="54" spans="1:32" ht="31.2" outlineLevel="1" x14ac:dyDescent="0.25">
      <c r="A54" s="633" t="s">
        <v>517</v>
      </c>
      <c r="B54" s="1353" t="s">
        <v>627</v>
      </c>
      <c r="C54" s="1354" t="s">
        <v>419</v>
      </c>
      <c r="D54" s="1355" t="s">
        <v>551</v>
      </c>
      <c r="E54" s="1359" t="s">
        <v>13</v>
      </c>
      <c r="F54" s="1360" t="s">
        <v>13</v>
      </c>
      <c r="G54" s="1358">
        <f>35090-3020+10821+7000</f>
        <v>49891</v>
      </c>
      <c r="H54" s="1148">
        <v>4321.4927600000001</v>
      </c>
      <c r="I54" s="1149">
        <v>7980.5668700000006</v>
      </c>
      <c r="J54" s="1150">
        <v>9245.6517500000009</v>
      </c>
      <c r="K54" s="1151">
        <v>7980.5668700000006</v>
      </c>
      <c r="L54" s="1154">
        <f t="shared" si="9"/>
        <v>17018.940369999997</v>
      </c>
      <c r="M54" s="1166">
        <v>17999.507239999999</v>
      </c>
      <c r="N54" s="634">
        <v>7000</v>
      </c>
      <c r="O54" s="1535">
        <f t="shared" ref="O54:O98" si="10">M54+N54</f>
        <v>24999.507239999999</v>
      </c>
      <c r="P54" s="1153">
        <v>0</v>
      </c>
      <c r="Q54" s="1153">
        <v>0</v>
      </c>
      <c r="R54" s="1151">
        <v>0</v>
      </c>
      <c r="S54" s="1528">
        <v>20570</v>
      </c>
      <c r="T54" s="1536">
        <v>0</v>
      </c>
      <c r="U54" s="1151">
        <v>0</v>
      </c>
      <c r="V54" s="1530">
        <v>0</v>
      </c>
      <c r="W54" s="1530">
        <v>0</v>
      </c>
      <c r="X54" s="1528">
        <v>0</v>
      </c>
      <c r="Y54" s="1152">
        <v>0</v>
      </c>
      <c r="Z54" s="1531" t="s">
        <v>1136</v>
      </c>
      <c r="AA54" s="1457" t="s">
        <v>111</v>
      </c>
      <c r="AB54" s="1533" t="s">
        <v>242</v>
      </c>
      <c r="AC54" s="1533" t="s">
        <v>59</v>
      </c>
      <c r="AD54" s="1533" t="s">
        <v>67</v>
      </c>
      <c r="AE54" s="1534" t="s">
        <v>171</v>
      </c>
      <c r="AF54" s="1534"/>
    </row>
    <row r="55" spans="1:32" s="873" customFormat="1" ht="27" outlineLevel="1" thickBot="1" x14ac:dyDescent="0.3">
      <c r="A55" s="779" t="s">
        <v>518</v>
      </c>
      <c r="B55" s="1337" t="s">
        <v>502</v>
      </c>
      <c r="C55" s="1338" t="s">
        <v>420</v>
      </c>
      <c r="D55" s="1339" t="s">
        <v>551</v>
      </c>
      <c r="E55" s="1340" t="s">
        <v>13</v>
      </c>
      <c r="F55" s="1368" t="s">
        <v>13</v>
      </c>
      <c r="G55" s="1342">
        <f>10000+7000+307+693+2319</f>
        <v>20319</v>
      </c>
      <c r="H55" s="1167">
        <v>1374.89275</v>
      </c>
      <c r="I55" s="1136">
        <v>5520.9468200000001</v>
      </c>
      <c r="J55" s="1137">
        <v>13038.30085</v>
      </c>
      <c r="K55" s="1138">
        <v>5520.9468200000001</v>
      </c>
      <c r="L55" s="1168">
        <f t="shared" si="9"/>
        <v>13423.16043</v>
      </c>
      <c r="M55" s="1169">
        <v>16625.107250000001</v>
      </c>
      <c r="N55" s="780">
        <v>2319</v>
      </c>
      <c r="O55" s="1506">
        <f t="shared" si="10"/>
        <v>18944.107250000001</v>
      </c>
      <c r="P55" s="1169">
        <v>0</v>
      </c>
      <c r="Q55" s="1169">
        <v>0</v>
      </c>
      <c r="R55" s="1138">
        <v>0</v>
      </c>
      <c r="S55" s="1507">
        <v>0</v>
      </c>
      <c r="T55" s="1545">
        <v>0</v>
      </c>
      <c r="U55" s="1138">
        <v>0</v>
      </c>
      <c r="V55" s="1509">
        <v>0</v>
      </c>
      <c r="W55" s="1509">
        <v>0</v>
      </c>
      <c r="X55" s="1507">
        <v>0</v>
      </c>
      <c r="Y55" s="1139">
        <v>0</v>
      </c>
      <c r="Z55" s="1370" t="s">
        <v>1137</v>
      </c>
      <c r="AA55" s="1339" t="s">
        <v>111</v>
      </c>
      <c r="AB55" s="1546" t="s">
        <v>242</v>
      </c>
      <c r="AC55" s="1512" t="s">
        <v>59</v>
      </c>
      <c r="AD55" s="1512" t="s">
        <v>67</v>
      </c>
      <c r="AE55" s="1341" t="s">
        <v>126</v>
      </c>
      <c r="AF55" s="1341"/>
    </row>
    <row r="56" spans="1:32" ht="27" outlineLevel="1" thickBot="1" x14ac:dyDescent="0.3">
      <c r="A56" s="779" t="s">
        <v>519</v>
      </c>
      <c r="B56" s="1337" t="s">
        <v>572</v>
      </c>
      <c r="C56" s="1338" t="s">
        <v>427</v>
      </c>
      <c r="D56" s="1339" t="s">
        <v>545</v>
      </c>
      <c r="E56" s="1340" t="s">
        <v>13</v>
      </c>
      <c r="F56" s="1368" t="s">
        <v>13</v>
      </c>
      <c r="G56" s="1342">
        <f>30000+10500+16660-10472+5163+2500</f>
        <v>54351</v>
      </c>
      <c r="H56" s="1167">
        <v>35377.188299999994</v>
      </c>
      <c r="I56" s="1136">
        <v>9773.8354600000002</v>
      </c>
      <c r="J56" s="1137">
        <v>0</v>
      </c>
      <c r="K56" s="1138">
        <v>9773.8354600000002</v>
      </c>
      <c r="L56" s="1168">
        <f t="shared" si="9"/>
        <v>9199.9762400000054</v>
      </c>
      <c r="M56" s="1169">
        <v>16473.811700000006</v>
      </c>
      <c r="N56" s="780">
        <v>2500</v>
      </c>
      <c r="O56" s="1506">
        <f t="shared" si="10"/>
        <v>18973.811700000006</v>
      </c>
      <c r="P56" s="1169">
        <v>0</v>
      </c>
      <c r="Q56" s="1169">
        <v>0</v>
      </c>
      <c r="R56" s="1138">
        <v>0</v>
      </c>
      <c r="S56" s="1507">
        <v>0</v>
      </c>
      <c r="T56" s="1545">
        <v>0</v>
      </c>
      <c r="U56" s="1138">
        <v>0</v>
      </c>
      <c r="V56" s="1509">
        <v>0</v>
      </c>
      <c r="W56" s="1509">
        <v>0</v>
      </c>
      <c r="X56" s="1507">
        <v>0</v>
      </c>
      <c r="Y56" s="1139">
        <v>0</v>
      </c>
      <c r="Z56" s="1370" t="s">
        <v>1138</v>
      </c>
      <c r="AA56" s="1339" t="s">
        <v>9</v>
      </c>
      <c r="AB56" s="1546" t="s">
        <v>573</v>
      </c>
      <c r="AC56" s="1512" t="s">
        <v>59</v>
      </c>
      <c r="AD56" s="1512" t="s">
        <v>67</v>
      </c>
      <c r="AE56" s="1341" t="s">
        <v>122</v>
      </c>
      <c r="AF56" s="1341"/>
    </row>
    <row r="57" spans="1:32" ht="31.2" outlineLevel="1" x14ac:dyDescent="0.25">
      <c r="A57" s="608" t="s">
        <v>516</v>
      </c>
      <c r="B57" s="1365" t="s">
        <v>657</v>
      </c>
      <c r="C57" s="1366" t="s">
        <v>469</v>
      </c>
      <c r="D57" s="1369" t="s">
        <v>552</v>
      </c>
      <c r="E57" s="1359" t="s">
        <v>13</v>
      </c>
      <c r="F57" s="1355" t="s">
        <v>13</v>
      </c>
      <c r="G57" s="1367">
        <f>26165-6165-6200+200+2443</f>
        <v>16443</v>
      </c>
      <c r="H57" s="1161">
        <v>100.01458</v>
      </c>
      <c r="I57" s="1162">
        <v>0</v>
      </c>
      <c r="J57" s="1163">
        <v>312.24672999999996</v>
      </c>
      <c r="K57" s="1164">
        <v>0</v>
      </c>
      <c r="L57" s="1165">
        <f t="shared" si="9"/>
        <v>16342.985420000001</v>
      </c>
      <c r="M57" s="1166">
        <v>13899.985420000001</v>
      </c>
      <c r="N57" s="1031">
        <v>2443</v>
      </c>
      <c r="O57" s="1527">
        <f t="shared" si="10"/>
        <v>16342.985420000001</v>
      </c>
      <c r="P57" s="1166">
        <v>0</v>
      </c>
      <c r="Q57" s="1166">
        <v>0</v>
      </c>
      <c r="R57" s="1164">
        <v>0</v>
      </c>
      <c r="S57" s="1541">
        <v>0</v>
      </c>
      <c r="T57" s="1542">
        <v>0</v>
      </c>
      <c r="U57" s="1164">
        <v>0</v>
      </c>
      <c r="V57" s="1262">
        <v>0</v>
      </c>
      <c r="W57" s="1262">
        <v>0</v>
      </c>
      <c r="X57" s="1541">
        <v>0</v>
      </c>
      <c r="Y57" s="1543">
        <v>0</v>
      </c>
      <c r="Z57" s="1369" t="s">
        <v>1139</v>
      </c>
      <c r="AA57" s="1355" t="s">
        <v>111</v>
      </c>
      <c r="AB57" s="1532" t="s">
        <v>242</v>
      </c>
      <c r="AC57" s="1532" t="s">
        <v>59</v>
      </c>
      <c r="AD57" s="1532" t="s">
        <v>67</v>
      </c>
      <c r="AE57" s="1544" t="s">
        <v>132</v>
      </c>
      <c r="AF57" s="1544"/>
    </row>
    <row r="58" spans="1:32" ht="31.2" outlineLevel="1" x14ac:dyDescent="0.25">
      <c r="A58" s="382" t="s">
        <v>515</v>
      </c>
      <c r="B58" s="383" t="s">
        <v>644</v>
      </c>
      <c r="C58" s="1016" t="s">
        <v>470</v>
      </c>
      <c r="D58" s="258" t="s">
        <v>552</v>
      </c>
      <c r="E58" s="47" t="s">
        <v>13</v>
      </c>
      <c r="F58" s="35" t="s">
        <v>13</v>
      </c>
      <c r="G58" s="42">
        <f>2000+2000</f>
        <v>4000</v>
      </c>
      <c r="H58" s="139">
        <v>957.09131000000002</v>
      </c>
      <c r="I58" s="879">
        <v>0</v>
      </c>
      <c r="J58" s="880">
        <v>2355.4720699999998</v>
      </c>
      <c r="K58" s="388">
        <v>0</v>
      </c>
      <c r="L58" s="572">
        <f t="shared" ref="L58:L78" si="11">O58-K58</f>
        <v>2355.9086900000002</v>
      </c>
      <c r="M58" s="385">
        <v>3042.9086900000002</v>
      </c>
      <c r="N58" s="387">
        <v>-687</v>
      </c>
      <c r="O58" s="387">
        <f t="shared" si="10"/>
        <v>2355.9086900000002</v>
      </c>
      <c r="P58" s="385">
        <f>700-13</f>
        <v>687</v>
      </c>
      <c r="Q58" s="385">
        <v>0</v>
      </c>
      <c r="R58" s="388">
        <v>0</v>
      </c>
      <c r="S58" s="743">
        <v>0</v>
      </c>
      <c r="T58" s="719">
        <v>0</v>
      </c>
      <c r="U58" s="388">
        <v>0</v>
      </c>
      <c r="V58" s="389">
        <v>0</v>
      </c>
      <c r="W58" s="389">
        <v>0</v>
      </c>
      <c r="X58" s="743">
        <v>0</v>
      </c>
      <c r="Y58" s="720">
        <v>0</v>
      </c>
      <c r="Z58" s="258" t="s">
        <v>1140</v>
      </c>
      <c r="AA58" s="36" t="s">
        <v>111</v>
      </c>
      <c r="AB58" s="44" t="s">
        <v>242</v>
      </c>
      <c r="AC58" s="44" t="s">
        <v>59</v>
      </c>
      <c r="AD58" s="44" t="s">
        <v>68</v>
      </c>
      <c r="AE58" s="878" t="s">
        <v>120</v>
      </c>
      <c r="AF58" s="878"/>
    </row>
    <row r="59" spans="1:32" ht="27" outlineLevel="1" thickBot="1" x14ac:dyDescent="0.3">
      <c r="A59" s="779" t="s">
        <v>514</v>
      </c>
      <c r="B59" s="1337" t="s">
        <v>820</v>
      </c>
      <c r="C59" s="1338" t="s">
        <v>474</v>
      </c>
      <c r="D59" s="1370" t="s">
        <v>552</v>
      </c>
      <c r="E59" s="1340" t="s">
        <v>13</v>
      </c>
      <c r="F59" s="1339" t="s">
        <v>13</v>
      </c>
      <c r="G59" s="1342">
        <f>49900+10000-11900+1000</f>
        <v>49000</v>
      </c>
      <c r="H59" s="1167">
        <v>0</v>
      </c>
      <c r="I59" s="1136">
        <v>1765.8377</v>
      </c>
      <c r="J59" s="1137">
        <v>14569.430919999999</v>
      </c>
      <c r="K59" s="1138">
        <v>1765.8377</v>
      </c>
      <c r="L59" s="1168">
        <f t="shared" si="11"/>
        <v>47234.162299999996</v>
      </c>
      <c r="M59" s="1169">
        <v>38000</v>
      </c>
      <c r="N59" s="780">
        <v>11000</v>
      </c>
      <c r="O59" s="1506">
        <f t="shared" si="10"/>
        <v>49000</v>
      </c>
      <c r="P59" s="1169">
        <v>0</v>
      </c>
      <c r="Q59" s="1169">
        <v>0</v>
      </c>
      <c r="R59" s="1138">
        <v>0</v>
      </c>
      <c r="S59" s="1507">
        <v>0</v>
      </c>
      <c r="T59" s="1545">
        <v>0</v>
      </c>
      <c r="U59" s="1138">
        <v>0</v>
      </c>
      <c r="V59" s="1509">
        <v>0</v>
      </c>
      <c r="W59" s="1509">
        <v>0</v>
      </c>
      <c r="X59" s="1507">
        <v>0</v>
      </c>
      <c r="Y59" s="1139">
        <v>0</v>
      </c>
      <c r="Z59" s="1370" t="s">
        <v>1141</v>
      </c>
      <c r="AA59" s="1339" t="s">
        <v>111</v>
      </c>
      <c r="AB59" s="1512" t="s">
        <v>242</v>
      </c>
      <c r="AC59" s="1512" t="s">
        <v>59</v>
      </c>
      <c r="AD59" s="1512" t="s">
        <v>67</v>
      </c>
      <c r="AE59" s="1341" t="s">
        <v>122</v>
      </c>
      <c r="AF59" s="1341"/>
    </row>
    <row r="60" spans="1:32" ht="26.4" outlineLevel="1" x14ac:dyDescent="0.25">
      <c r="A60" s="371" t="s">
        <v>585</v>
      </c>
      <c r="B60" s="1032" t="s">
        <v>54</v>
      </c>
      <c r="C60" s="1033" t="s">
        <v>586</v>
      </c>
      <c r="D60" s="35" t="s">
        <v>664</v>
      </c>
      <c r="E60" s="47" t="s">
        <v>13</v>
      </c>
      <c r="F60" s="35" t="s">
        <v>13</v>
      </c>
      <c r="G60" s="39">
        <f>130000+69200</f>
        <v>199200</v>
      </c>
      <c r="H60" s="126">
        <v>0</v>
      </c>
      <c r="I60" s="976">
        <v>0</v>
      </c>
      <c r="J60" s="990">
        <v>0</v>
      </c>
      <c r="K60" s="378">
        <v>0</v>
      </c>
      <c r="L60" s="572">
        <f t="shared" si="11"/>
        <v>0</v>
      </c>
      <c r="M60" s="130">
        <v>1000</v>
      </c>
      <c r="N60" s="547">
        <v>-1000</v>
      </c>
      <c r="O60" s="547">
        <f t="shared" si="10"/>
        <v>0</v>
      </c>
      <c r="P60" s="130">
        <v>99000</v>
      </c>
      <c r="Q60" s="130">
        <v>100200</v>
      </c>
      <c r="R60" s="378">
        <v>0</v>
      </c>
      <c r="S60" s="741">
        <v>0</v>
      </c>
      <c r="T60" s="709">
        <v>0</v>
      </c>
      <c r="U60" s="378">
        <v>0</v>
      </c>
      <c r="V60" s="379">
        <v>0</v>
      </c>
      <c r="W60" s="379">
        <v>0</v>
      </c>
      <c r="X60" s="741">
        <v>0</v>
      </c>
      <c r="Y60" s="336">
        <v>0</v>
      </c>
      <c r="Z60" s="257" t="s">
        <v>1142</v>
      </c>
      <c r="AA60" s="35" t="s">
        <v>5</v>
      </c>
      <c r="AB60" s="108" t="s">
        <v>674</v>
      </c>
      <c r="AC60" s="35" t="s">
        <v>58</v>
      </c>
      <c r="AD60" s="35">
        <v>2</v>
      </c>
      <c r="AE60" s="35" t="s">
        <v>340</v>
      </c>
      <c r="AF60" s="869"/>
    </row>
    <row r="61" spans="1:32" ht="26.4" outlineLevel="1" x14ac:dyDescent="0.25">
      <c r="A61" s="371" t="s">
        <v>587</v>
      </c>
      <c r="B61" s="1032" t="s">
        <v>54</v>
      </c>
      <c r="C61" s="1033" t="s">
        <v>588</v>
      </c>
      <c r="D61" s="36" t="s">
        <v>664</v>
      </c>
      <c r="E61" s="47" t="s">
        <v>13</v>
      </c>
      <c r="F61" s="35" t="s">
        <v>13</v>
      </c>
      <c r="G61" s="39">
        <v>130000</v>
      </c>
      <c r="H61" s="126">
        <v>0</v>
      </c>
      <c r="I61" s="976">
        <v>0</v>
      </c>
      <c r="J61" s="990">
        <v>0</v>
      </c>
      <c r="K61" s="378">
        <v>0</v>
      </c>
      <c r="L61" s="572">
        <f t="shared" si="11"/>
        <v>0</v>
      </c>
      <c r="M61" s="130">
        <v>1000</v>
      </c>
      <c r="N61" s="547">
        <v>-1000</v>
      </c>
      <c r="O61" s="547">
        <f t="shared" si="10"/>
        <v>0</v>
      </c>
      <c r="P61" s="130">
        <v>90000</v>
      </c>
      <c r="Q61" s="130">
        <v>40000</v>
      </c>
      <c r="R61" s="378">
        <v>0</v>
      </c>
      <c r="S61" s="741">
        <v>0</v>
      </c>
      <c r="T61" s="709">
        <v>0</v>
      </c>
      <c r="U61" s="378">
        <v>0</v>
      </c>
      <c r="V61" s="379">
        <v>0</v>
      </c>
      <c r="W61" s="379">
        <v>0</v>
      </c>
      <c r="X61" s="741">
        <v>0</v>
      </c>
      <c r="Y61" s="336">
        <v>0</v>
      </c>
      <c r="Z61" s="257" t="s">
        <v>1142</v>
      </c>
      <c r="AA61" s="35" t="s">
        <v>5</v>
      </c>
      <c r="AB61" s="381" t="s">
        <v>755</v>
      </c>
      <c r="AC61" s="36" t="s">
        <v>58</v>
      </c>
      <c r="AD61" s="36">
        <v>2</v>
      </c>
      <c r="AE61" s="36" t="s">
        <v>165</v>
      </c>
      <c r="AF61" s="878"/>
    </row>
    <row r="62" spans="1:32" ht="26.4" outlineLevel="1" x14ac:dyDescent="0.25">
      <c r="A62" s="371" t="s">
        <v>589</v>
      </c>
      <c r="B62" s="1032" t="s">
        <v>54</v>
      </c>
      <c r="C62" s="1033" t="s">
        <v>590</v>
      </c>
      <c r="D62" s="36" t="s">
        <v>664</v>
      </c>
      <c r="E62" s="47" t="s">
        <v>13</v>
      </c>
      <c r="F62" s="35" t="s">
        <v>13</v>
      </c>
      <c r="G62" s="39">
        <f>8000+1500</f>
        <v>9500</v>
      </c>
      <c r="H62" s="126">
        <v>0</v>
      </c>
      <c r="I62" s="976">
        <v>0</v>
      </c>
      <c r="J62" s="990">
        <v>0</v>
      </c>
      <c r="K62" s="378">
        <v>0</v>
      </c>
      <c r="L62" s="572">
        <f t="shared" si="11"/>
        <v>0</v>
      </c>
      <c r="M62" s="130">
        <v>9500</v>
      </c>
      <c r="N62" s="547">
        <v>-9500</v>
      </c>
      <c r="O62" s="547">
        <f t="shared" si="10"/>
        <v>0</v>
      </c>
      <c r="P62" s="130">
        <v>9500</v>
      </c>
      <c r="Q62" s="130">
        <v>0</v>
      </c>
      <c r="R62" s="378">
        <v>0</v>
      </c>
      <c r="S62" s="741">
        <v>0</v>
      </c>
      <c r="T62" s="709">
        <v>0</v>
      </c>
      <c r="U62" s="378">
        <v>0</v>
      </c>
      <c r="V62" s="379">
        <v>0</v>
      </c>
      <c r="W62" s="379">
        <v>0</v>
      </c>
      <c r="X62" s="741">
        <v>0</v>
      </c>
      <c r="Y62" s="336">
        <v>0</v>
      </c>
      <c r="Z62" s="258" t="s">
        <v>1085</v>
      </c>
      <c r="AA62" s="35" t="s">
        <v>9</v>
      </c>
      <c r="AB62" s="381" t="s">
        <v>755</v>
      </c>
      <c r="AC62" s="36" t="s">
        <v>59</v>
      </c>
      <c r="AD62" s="36">
        <v>1</v>
      </c>
      <c r="AE62" s="36" t="s">
        <v>127</v>
      </c>
      <c r="AF62" s="878"/>
    </row>
    <row r="63" spans="1:32" ht="26.4" outlineLevel="1" x14ac:dyDescent="0.25">
      <c r="A63" s="371" t="s">
        <v>606</v>
      </c>
      <c r="B63" s="1032" t="s">
        <v>54</v>
      </c>
      <c r="C63" s="1033" t="s">
        <v>591</v>
      </c>
      <c r="D63" s="36" t="s">
        <v>664</v>
      </c>
      <c r="E63" s="47" t="s">
        <v>13</v>
      </c>
      <c r="F63" s="35" t="s">
        <v>13</v>
      </c>
      <c r="G63" s="39">
        <v>20000</v>
      </c>
      <c r="H63" s="126">
        <v>0</v>
      </c>
      <c r="I63" s="976">
        <v>0</v>
      </c>
      <c r="J63" s="990">
        <v>0</v>
      </c>
      <c r="K63" s="378">
        <v>0</v>
      </c>
      <c r="L63" s="572">
        <f t="shared" si="11"/>
        <v>0</v>
      </c>
      <c r="M63" s="130">
        <v>1000</v>
      </c>
      <c r="N63" s="547">
        <v>-1000</v>
      </c>
      <c r="O63" s="547">
        <f t="shared" si="10"/>
        <v>0</v>
      </c>
      <c r="P63" s="130">
        <v>20000</v>
      </c>
      <c r="Q63" s="130">
        <v>0</v>
      </c>
      <c r="R63" s="378">
        <v>0</v>
      </c>
      <c r="S63" s="741">
        <v>0</v>
      </c>
      <c r="T63" s="709">
        <v>0</v>
      </c>
      <c r="U63" s="378">
        <v>0</v>
      </c>
      <c r="V63" s="379">
        <v>0</v>
      </c>
      <c r="W63" s="379">
        <v>0</v>
      </c>
      <c r="X63" s="741">
        <v>0</v>
      </c>
      <c r="Y63" s="336">
        <v>0</v>
      </c>
      <c r="Z63" s="258" t="s">
        <v>1086</v>
      </c>
      <c r="AA63" s="35" t="s">
        <v>5</v>
      </c>
      <c r="AB63" s="381" t="s">
        <v>755</v>
      </c>
      <c r="AC63" s="36" t="s">
        <v>58</v>
      </c>
      <c r="AD63" s="36">
        <v>2</v>
      </c>
      <c r="AE63" s="36" t="s">
        <v>127</v>
      </c>
      <c r="AF63" s="878"/>
    </row>
    <row r="64" spans="1:32" ht="26.4" outlineLevel="1" x14ac:dyDescent="0.25">
      <c r="A64" s="371" t="s">
        <v>607</v>
      </c>
      <c r="B64" s="1032" t="s">
        <v>54</v>
      </c>
      <c r="C64" s="1033" t="s">
        <v>592</v>
      </c>
      <c r="D64" s="36" t="s">
        <v>664</v>
      </c>
      <c r="E64" s="47" t="s">
        <v>13</v>
      </c>
      <c r="F64" s="35" t="s">
        <v>13</v>
      </c>
      <c r="G64" s="39">
        <v>18000</v>
      </c>
      <c r="H64" s="126">
        <v>0</v>
      </c>
      <c r="I64" s="976">
        <v>0</v>
      </c>
      <c r="J64" s="990">
        <v>0</v>
      </c>
      <c r="K64" s="378">
        <v>0</v>
      </c>
      <c r="L64" s="572">
        <f t="shared" si="11"/>
        <v>18000</v>
      </c>
      <c r="M64" s="130">
        <v>12000</v>
      </c>
      <c r="N64" s="547">
        <v>6000</v>
      </c>
      <c r="O64" s="547">
        <f t="shared" si="10"/>
        <v>18000</v>
      </c>
      <c r="P64" s="130">
        <v>0</v>
      </c>
      <c r="Q64" s="130">
        <v>0</v>
      </c>
      <c r="R64" s="378">
        <v>0</v>
      </c>
      <c r="S64" s="741">
        <v>0</v>
      </c>
      <c r="T64" s="709">
        <v>0</v>
      </c>
      <c r="U64" s="378">
        <v>0</v>
      </c>
      <c r="V64" s="379">
        <v>0</v>
      </c>
      <c r="W64" s="379">
        <v>0</v>
      </c>
      <c r="X64" s="741">
        <v>0</v>
      </c>
      <c r="Y64" s="336">
        <v>0</v>
      </c>
      <c r="Z64" s="258" t="s">
        <v>1087</v>
      </c>
      <c r="AA64" s="35" t="s">
        <v>9</v>
      </c>
      <c r="AB64" s="381" t="s">
        <v>242</v>
      </c>
      <c r="AC64" s="36" t="s">
        <v>59</v>
      </c>
      <c r="AD64" s="36">
        <v>1</v>
      </c>
      <c r="AE64" s="36" t="s">
        <v>124</v>
      </c>
      <c r="AF64" s="878"/>
    </row>
    <row r="65" spans="1:32" ht="26.4" outlineLevel="1" x14ac:dyDescent="0.25">
      <c r="A65" s="371" t="s">
        <v>608</v>
      </c>
      <c r="B65" s="1032" t="s">
        <v>54</v>
      </c>
      <c r="C65" s="1033" t="s">
        <v>593</v>
      </c>
      <c r="D65" s="36" t="s">
        <v>664</v>
      </c>
      <c r="E65" s="47" t="s">
        <v>13</v>
      </c>
      <c r="F65" s="35" t="s">
        <v>13</v>
      </c>
      <c r="G65" s="39">
        <v>45000</v>
      </c>
      <c r="H65" s="126">
        <v>0</v>
      </c>
      <c r="I65" s="976">
        <v>0</v>
      </c>
      <c r="J65" s="990">
        <v>0</v>
      </c>
      <c r="K65" s="378">
        <v>0</v>
      </c>
      <c r="L65" s="572">
        <f t="shared" si="11"/>
        <v>0</v>
      </c>
      <c r="M65" s="130">
        <v>5000</v>
      </c>
      <c r="N65" s="547">
        <v>-5000</v>
      </c>
      <c r="O65" s="547">
        <f t="shared" si="10"/>
        <v>0</v>
      </c>
      <c r="P65" s="130">
        <v>40000</v>
      </c>
      <c r="Q65" s="130">
        <v>5000</v>
      </c>
      <c r="R65" s="378">
        <v>0</v>
      </c>
      <c r="S65" s="741">
        <v>0</v>
      </c>
      <c r="T65" s="709">
        <v>0</v>
      </c>
      <c r="U65" s="378">
        <v>0</v>
      </c>
      <c r="V65" s="379">
        <v>0</v>
      </c>
      <c r="W65" s="379">
        <v>0</v>
      </c>
      <c r="X65" s="741">
        <v>0</v>
      </c>
      <c r="Y65" s="336">
        <v>0</v>
      </c>
      <c r="Z65" s="258" t="s">
        <v>1088</v>
      </c>
      <c r="AA65" s="35" t="s">
        <v>5</v>
      </c>
      <c r="AB65" s="381" t="s">
        <v>755</v>
      </c>
      <c r="AC65" s="36" t="s">
        <v>58</v>
      </c>
      <c r="AD65" s="36">
        <v>1</v>
      </c>
      <c r="AE65" s="36" t="s">
        <v>131</v>
      </c>
      <c r="AF65" s="878"/>
    </row>
    <row r="66" spans="1:32" ht="26.4" outlineLevel="1" x14ac:dyDescent="0.25">
      <c r="A66" s="371" t="s">
        <v>609</v>
      </c>
      <c r="B66" s="1032" t="s">
        <v>729</v>
      </c>
      <c r="C66" s="1033" t="s">
        <v>594</v>
      </c>
      <c r="D66" s="36" t="s">
        <v>664</v>
      </c>
      <c r="E66" s="47" t="s">
        <v>13</v>
      </c>
      <c r="F66" s="35" t="s">
        <v>13</v>
      </c>
      <c r="G66" s="39">
        <v>30000</v>
      </c>
      <c r="H66" s="126">
        <v>0</v>
      </c>
      <c r="I66" s="976">
        <v>381.15</v>
      </c>
      <c r="J66" s="990">
        <v>0</v>
      </c>
      <c r="K66" s="378">
        <v>381.15</v>
      </c>
      <c r="L66" s="572">
        <f t="shared" si="11"/>
        <v>0</v>
      </c>
      <c r="M66" s="130">
        <v>681.14999999999964</v>
      </c>
      <c r="N66" s="547">
        <v>-300</v>
      </c>
      <c r="O66" s="547">
        <f t="shared" si="10"/>
        <v>381.14999999999964</v>
      </c>
      <c r="P66" s="130">
        <f>30000-381.15-300+300</f>
        <v>29618.85</v>
      </c>
      <c r="Q66" s="130">
        <v>0</v>
      </c>
      <c r="R66" s="378">
        <v>0</v>
      </c>
      <c r="S66" s="741">
        <v>0</v>
      </c>
      <c r="T66" s="709">
        <v>0</v>
      </c>
      <c r="U66" s="378">
        <v>0</v>
      </c>
      <c r="V66" s="379">
        <v>0</v>
      </c>
      <c r="W66" s="379">
        <v>0</v>
      </c>
      <c r="X66" s="741">
        <v>0</v>
      </c>
      <c r="Y66" s="336">
        <v>0</v>
      </c>
      <c r="Z66" s="258" t="s">
        <v>1089</v>
      </c>
      <c r="AA66" s="35" t="s">
        <v>5</v>
      </c>
      <c r="AB66" s="381" t="s">
        <v>721</v>
      </c>
      <c r="AC66" s="36" t="s">
        <v>58</v>
      </c>
      <c r="AD66" s="36">
        <v>1</v>
      </c>
      <c r="AE66" s="36" t="s">
        <v>125</v>
      </c>
      <c r="AF66" s="878"/>
    </row>
    <row r="67" spans="1:32" ht="26.4" outlineLevel="1" x14ac:dyDescent="0.25">
      <c r="A67" s="371" t="s">
        <v>610</v>
      </c>
      <c r="B67" s="1032" t="s">
        <v>54</v>
      </c>
      <c r="C67" s="1033" t="s">
        <v>595</v>
      </c>
      <c r="D67" s="36" t="s">
        <v>664</v>
      </c>
      <c r="E67" s="47" t="s">
        <v>13</v>
      </c>
      <c r="F67" s="35" t="s">
        <v>13</v>
      </c>
      <c r="G67" s="39">
        <v>13000</v>
      </c>
      <c r="H67" s="126">
        <v>0</v>
      </c>
      <c r="I67" s="976">
        <v>0</v>
      </c>
      <c r="J67" s="990">
        <v>0</v>
      </c>
      <c r="K67" s="378">
        <v>0</v>
      </c>
      <c r="L67" s="572">
        <f t="shared" si="11"/>
        <v>10000</v>
      </c>
      <c r="M67" s="130">
        <v>10500</v>
      </c>
      <c r="N67" s="547">
        <v>-500</v>
      </c>
      <c r="O67" s="547">
        <f t="shared" si="10"/>
        <v>10000</v>
      </c>
      <c r="P67" s="130">
        <v>3000</v>
      </c>
      <c r="Q67" s="130">
        <v>0</v>
      </c>
      <c r="R67" s="378">
        <v>0</v>
      </c>
      <c r="S67" s="741">
        <v>0</v>
      </c>
      <c r="T67" s="709">
        <v>0</v>
      </c>
      <c r="U67" s="378">
        <v>0</v>
      </c>
      <c r="V67" s="379">
        <v>0</v>
      </c>
      <c r="W67" s="379">
        <v>0</v>
      </c>
      <c r="X67" s="741">
        <v>0</v>
      </c>
      <c r="Y67" s="336">
        <v>0</v>
      </c>
      <c r="Z67" s="258" t="s">
        <v>1090</v>
      </c>
      <c r="AA67" s="35" t="s">
        <v>9</v>
      </c>
      <c r="AB67" s="381" t="s">
        <v>674</v>
      </c>
      <c r="AC67" s="36" t="s">
        <v>59</v>
      </c>
      <c r="AD67" s="44" t="s">
        <v>67</v>
      </c>
      <c r="AE67" s="878" t="s">
        <v>135</v>
      </c>
      <c r="AF67" s="878"/>
    </row>
    <row r="68" spans="1:32" ht="26.4" outlineLevel="1" x14ac:dyDescent="0.25">
      <c r="A68" s="371" t="s">
        <v>611</v>
      </c>
      <c r="B68" s="1032" t="s">
        <v>849</v>
      </c>
      <c r="C68" s="1033" t="s">
        <v>596</v>
      </c>
      <c r="D68" s="36" t="s">
        <v>664</v>
      </c>
      <c r="E68" s="47" t="s">
        <v>13</v>
      </c>
      <c r="F68" s="35" t="s">
        <v>13</v>
      </c>
      <c r="G68" s="39">
        <v>21000</v>
      </c>
      <c r="H68" s="126">
        <v>0</v>
      </c>
      <c r="I68" s="976">
        <v>0</v>
      </c>
      <c r="J68" s="990">
        <v>14503.654200000001</v>
      </c>
      <c r="K68" s="378">
        <v>0</v>
      </c>
      <c r="L68" s="572">
        <f t="shared" si="11"/>
        <v>14505</v>
      </c>
      <c r="M68" s="130">
        <v>15500</v>
      </c>
      <c r="N68" s="547">
        <v>-995</v>
      </c>
      <c r="O68" s="547">
        <f t="shared" si="10"/>
        <v>14505</v>
      </c>
      <c r="P68" s="130">
        <f>4000+1500+995</f>
        <v>6495</v>
      </c>
      <c r="Q68" s="130">
        <v>0</v>
      </c>
      <c r="R68" s="378">
        <v>0</v>
      </c>
      <c r="S68" s="741">
        <v>0</v>
      </c>
      <c r="T68" s="709">
        <v>0</v>
      </c>
      <c r="U68" s="378">
        <v>0</v>
      </c>
      <c r="V68" s="379">
        <v>0</v>
      </c>
      <c r="W68" s="379">
        <v>0</v>
      </c>
      <c r="X68" s="741">
        <v>0</v>
      </c>
      <c r="Y68" s="336">
        <v>0</v>
      </c>
      <c r="Z68" s="258" t="s">
        <v>1143</v>
      </c>
      <c r="AA68" s="35" t="s">
        <v>111</v>
      </c>
      <c r="AB68" s="381" t="s">
        <v>242</v>
      </c>
      <c r="AC68" s="36" t="s">
        <v>59</v>
      </c>
      <c r="AD68" s="44" t="s">
        <v>67</v>
      </c>
      <c r="AE68" s="878" t="s">
        <v>129</v>
      </c>
      <c r="AF68" s="878"/>
    </row>
    <row r="69" spans="1:32" ht="26.4" outlineLevel="1" x14ac:dyDescent="0.25">
      <c r="A69" s="371" t="s">
        <v>612</v>
      </c>
      <c r="B69" s="1032" t="s">
        <v>54</v>
      </c>
      <c r="C69" s="1033" t="s">
        <v>597</v>
      </c>
      <c r="D69" s="36" t="s">
        <v>664</v>
      </c>
      <c r="E69" s="47" t="s">
        <v>13</v>
      </c>
      <c r="F69" s="35" t="s">
        <v>13</v>
      </c>
      <c r="G69" s="39">
        <v>10000</v>
      </c>
      <c r="H69" s="126">
        <v>0</v>
      </c>
      <c r="I69" s="976">
        <v>0</v>
      </c>
      <c r="J69" s="990">
        <v>0</v>
      </c>
      <c r="K69" s="378">
        <v>0</v>
      </c>
      <c r="L69" s="572">
        <f t="shared" si="11"/>
        <v>8200</v>
      </c>
      <c r="M69" s="130">
        <v>6000</v>
      </c>
      <c r="N69" s="547">
        <v>2200</v>
      </c>
      <c r="O69" s="547">
        <f t="shared" si="10"/>
        <v>8200</v>
      </c>
      <c r="P69" s="130">
        <f>4000-2200</f>
        <v>1800</v>
      </c>
      <c r="Q69" s="130">
        <v>0</v>
      </c>
      <c r="R69" s="378">
        <v>0</v>
      </c>
      <c r="S69" s="741">
        <v>0</v>
      </c>
      <c r="T69" s="709">
        <v>0</v>
      </c>
      <c r="U69" s="378">
        <v>0</v>
      </c>
      <c r="V69" s="379">
        <v>0</v>
      </c>
      <c r="W69" s="379">
        <v>0</v>
      </c>
      <c r="X69" s="741">
        <v>0</v>
      </c>
      <c r="Y69" s="336">
        <v>0</v>
      </c>
      <c r="Z69" s="258" t="s">
        <v>1091</v>
      </c>
      <c r="AA69" s="35" t="s">
        <v>9</v>
      </c>
      <c r="AB69" s="381" t="s">
        <v>242</v>
      </c>
      <c r="AC69" s="36" t="s">
        <v>59</v>
      </c>
      <c r="AD69" s="44" t="s">
        <v>67</v>
      </c>
      <c r="AE69" s="878" t="s">
        <v>171</v>
      </c>
      <c r="AF69" s="878"/>
    </row>
    <row r="70" spans="1:32" ht="26.4" outlineLevel="1" x14ac:dyDescent="0.25">
      <c r="A70" s="371" t="s">
        <v>613</v>
      </c>
      <c r="B70" s="1032" t="s">
        <v>54</v>
      </c>
      <c r="C70" s="1033" t="s">
        <v>598</v>
      </c>
      <c r="D70" s="36" t="s">
        <v>664</v>
      </c>
      <c r="E70" s="47" t="s">
        <v>13</v>
      </c>
      <c r="F70" s="35" t="s">
        <v>13</v>
      </c>
      <c r="G70" s="39">
        <f>11000+1000</f>
        <v>12000</v>
      </c>
      <c r="H70" s="126">
        <v>0</v>
      </c>
      <c r="I70" s="976">
        <v>0</v>
      </c>
      <c r="J70" s="990">
        <v>0</v>
      </c>
      <c r="K70" s="378">
        <v>0</v>
      </c>
      <c r="L70" s="572">
        <f t="shared" si="11"/>
        <v>0</v>
      </c>
      <c r="M70" s="130">
        <v>10000</v>
      </c>
      <c r="N70" s="547">
        <v>-10000</v>
      </c>
      <c r="O70" s="547">
        <f t="shared" si="10"/>
        <v>0</v>
      </c>
      <c r="P70" s="130">
        <v>12000</v>
      </c>
      <c r="Q70" s="130">
        <v>0</v>
      </c>
      <c r="R70" s="378">
        <v>0</v>
      </c>
      <c r="S70" s="741">
        <v>0</v>
      </c>
      <c r="T70" s="709">
        <v>0</v>
      </c>
      <c r="U70" s="378">
        <v>0</v>
      </c>
      <c r="V70" s="379">
        <v>0</v>
      </c>
      <c r="W70" s="379">
        <v>0</v>
      </c>
      <c r="X70" s="741">
        <v>0</v>
      </c>
      <c r="Y70" s="336">
        <v>0</v>
      </c>
      <c r="Z70" s="258" t="s">
        <v>1092</v>
      </c>
      <c r="AA70" s="35" t="s">
        <v>9</v>
      </c>
      <c r="AB70" s="381" t="s">
        <v>755</v>
      </c>
      <c r="AC70" s="36" t="s">
        <v>59</v>
      </c>
      <c r="AD70" s="44" t="s">
        <v>67</v>
      </c>
      <c r="AE70" s="878" t="s">
        <v>340</v>
      </c>
      <c r="AF70" s="878"/>
    </row>
    <row r="71" spans="1:32" ht="26.4" outlineLevel="1" x14ac:dyDescent="0.25">
      <c r="A71" s="371" t="s">
        <v>614</v>
      </c>
      <c r="B71" s="1032" t="s">
        <v>54</v>
      </c>
      <c r="C71" s="1033" t="s">
        <v>599</v>
      </c>
      <c r="D71" s="36" t="s">
        <v>664</v>
      </c>
      <c r="E71" s="47" t="s">
        <v>13</v>
      </c>
      <c r="F71" s="35" t="s">
        <v>13</v>
      </c>
      <c r="G71" s="39">
        <v>13000</v>
      </c>
      <c r="H71" s="126">
        <v>0</v>
      </c>
      <c r="I71" s="976">
        <v>0</v>
      </c>
      <c r="J71" s="990">
        <v>0</v>
      </c>
      <c r="K71" s="378">
        <v>0</v>
      </c>
      <c r="L71" s="572">
        <f t="shared" si="11"/>
        <v>8200</v>
      </c>
      <c r="M71" s="130">
        <v>7000</v>
      </c>
      <c r="N71" s="547">
        <v>1200</v>
      </c>
      <c r="O71" s="547">
        <f t="shared" si="10"/>
        <v>8200</v>
      </c>
      <c r="P71" s="130">
        <f>6000-1200</f>
        <v>4800</v>
      </c>
      <c r="Q71" s="130">
        <v>0</v>
      </c>
      <c r="R71" s="378">
        <v>0</v>
      </c>
      <c r="S71" s="741">
        <v>0</v>
      </c>
      <c r="T71" s="709">
        <v>0</v>
      </c>
      <c r="U71" s="378">
        <v>0</v>
      </c>
      <c r="V71" s="379">
        <v>0</v>
      </c>
      <c r="W71" s="379">
        <v>0</v>
      </c>
      <c r="X71" s="741">
        <v>0</v>
      </c>
      <c r="Y71" s="336">
        <v>0</v>
      </c>
      <c r="Z71" s="258" t="s">
        <v>1093</v>
      </c>
      <c r="AA71" s="35" t="s">
        <v>9</v>
      </c>
      <c r="AB71" s="381" t="s">
        <v>242</v>
      </c>
      <c r="AC71" s="36" t="s">
        <v>59</v>
      </c>
      <c r="AD71" s="44" t="s">
        <v>67</v>
      </c>
      <c r="AE71" s="878" t="s">
        <v>119</v>
      </c>
      <c r="AF71" s="878"/>
    </row>
    <row r="72" spans="1:32" ht="26.4" outlineLevel="1" x14ac:dyDescent="0.25">
      <c r="A72" s="371" t="s">
        <v>615</v>
      </c>
      <c r="B72" s="1032" t="s">
        <v>855</v>
      </c>
      <c r="C72" s="1033" t="s">
        <v>600</v>
      </c>
      <c r="D72" s="36" t="s">
        <v>664</v>
      </c>
      <c r="E72" s="47" t="s">
        <v>13</v>
      </c>
      <c r="F72" s="35" t="s">
        <v>13</v>
      </c>
      <c r="G72" s="39">
        <v>16000</v>
      </c>
      <c r="H72" s="126">
        <v>0</v>
      </c>
      <c r="I72" s="976">
        <v>0</v>
      </c>
      <c r="J72" s="990">
        <v>7837.3865800000003</v>
      </c>
      <c r="K72" s="378">
        <v>0</v>
      </c>
      <c r="L72" s="572">
        <f t="shared" si="11"/>
        <v>8000</v>
      </c>
      <c r="M72" s="130">
        <v>8500</v>
      </c>
      <c r="N72" s="547">
        <v>-500</v>
      </c>
      <c r="O72" s="547">
        <f t="shared" si="10"/>
        <v>8000</v>
      </c>
      <c r="P72" s="130">
        <v>3000</v>
      </c>
      <c r="Q72" s="130">
        <v>5000</v>
      </c>
      <c r="R72" s="378">
        <v>0</v>
      </c>
      <c r="S72" s="741">
        <v>0</v>
      </c>
      <c r="T72" s="709">
        <v>0</v>
      </c>
      <c r="U72" s="378">
        <v>0</v>
      </c>
      <c r="V72" s="379">
        <v>0</v>
      </c>
      <c r="W72" s="379">
        <v>0</v>
      </c>
      <c r="X72" s="741">
        <v>0</v>
      </c>
      <c r="Y72" s="336">
        <v>0</v>
      </c>
      <c r="Z72" s="258" t="s">
        <v>1094</v>
      </c>
      <c r="AA72" s="35" t="s">
        <v>9</v>
      </c>
      <c r="AB72" s="381" t="s">
        <v>582</v>
      </c>
      <c r="AC72" s="36" t="s">
        <v>59</v>
      </c>
      <c r="AD72" s="44" t="s">
        <v>67</v>
      </c>
      <c r="AE72" s="878" t="s">
        <v>119</v>
      </c>
      <c r="AF72" s="878"/>
    </row>
    <row r="73" spans="1:32" ht="26.4" outlineLevel="1" x14ac:dyDescent="0.25">
      <c r="A73" s="371" t="s">
        <v>616</v>
      </c>
      <c r="B73" s="1032" t="s">
        <v>54</v>
      </c>
      <c r="C73" s="1033" t="s">
        <v>601</v>
      </c>
      <c r="D73" s="36" t="s">
        <v>664</v>
      </c>
      <c r="E73" s="47" t="s">
        <v>13</v>
      </c>
      <c r="F73" s="35" t="s">
        <v>13</v>
      </c>
      <c r="G73" s="39">
        <v>27000</v>
      </c>
      <c r="H73" s="126">
        <v>0</v>
      </c>
      <c r="I73" s="976">
        <v>0</v>
      </c>
      <c r="J73" s="990">
        <v>3844.9578099999999</v>
      </c>
      <c r="K73" s="378">
        <v>0</v>
      </c>
      <c r="L73" s="572">
        <f t="shared" si="11"/>
        <v>22300</v>
      </c>
      <c r="M73" s="130">
        <v>20000</v>
      </c>
      <c r="N73" s="547">
        <v>2300</v>
      </c>
      <c r="O73" s="547">
        <f t="shared" si="10"/>
        <v>22300</v>
      </c>
      <c r="P73" s="130">
        <f>7000-2300</f>
        <v>4700</v>
      </c>
      <c r="Q73" s="130">
        <v>0</v>
      </c>
      <c r="R73" s="378">
        <v>0</v>
      </c>
      <c r="S73" s="741">
        <v>0</v>
      </c>
      <c r="T73" s="709">
        <v>0</v>
      </c>
      <c r="U73" s="378">
        <v>0</v>
      </c>
      <c r="V73" s="379">
        <v>0</v>
      </c>
      <c r="W73" s="379">
        <v>0</v>
      </c>
      <c r="X73" s="741">
        <v>0</v>
      </c>
      <c r="Y73" s="336">
        <v>0</v>
      </c>
      <c r="Z73" s="258" t="s">
        <v>1095</v>
      </c>
      <c r="AA73" s="35" t="s">
        <v>9</v>
      </c>
      <c r="AB73" s="381" t="s">
        <v>242</v>
      </c>
      <c r="AC73" s="36" t="s">
        <v>59</v>
      </c>
      <c r="AD73" s="44" t="s">
        <v>67</v>
      </c>
      <c r="AE73" s="878" t="s">
        <v>340</v>
      </c>
      <c r="AF73" s="878"/>
    </row>
    <row r="74" spans="1:32" ht="26.4" outlineLevel="1" x14ac:dyDescent="0.25">
      <c r="A74" s="1034" t="s">
        <v>617</v>
      </c>
      <c r="B74" s="1035" t="s">
        <v>851</v>
      </c>
      <c r="C74" s="1036" t="s">
        <v>602</v>
      </c>
      <c r="D74" s="197" t="s">
        <v>664</v>
      </c>
      <c r="E74" s="46" t="s">
        <v>13</v>
      </c>
      <c r="F74" s="200" t="s">
        <v>13</v>
      </c>
      <c r="G74" s="198">
        <f>12000-1047</f>
        <v>10953</v>
      </c>
      <c r="H74" s="199">
        <v>0</v>
      </c>
      <c r="I74" s="1037">
        <v>0</v>
      </c>
      <c r="J74" s="1038">
        <v>10918.500340000001</v>
      </c>
      <c r="K74" s="1039">
        <v>0</v>
      </c>
      <c r="L74" s="1040">
        <f t="shared" si="11"/>
        <v>10953</v>
      </c>
      <c r="M74" s="1041">
        <v>12000</v>
      </c>
      <c r="N74" s="1042">
        <v>-1047</v>
      </c>
      <c r="O74" s="1042">
        <f t="shared" si="10"/>
        <v>10953</v>
      </c>
      <c r="P74" s="1041">
        <v>0</v>
      </c>
      <c r="Q74" s="1041">
        <v>0</v>
      </c>
      <c r="R74" s="1039">
        <v>0</v>
      </c>
      <c r="S74" s="1043">
        <v>0</v>
      </c>
      <c r="T74" s="1044">
        <v>0</v>
      </c>
      <c r="U74" s="1039">
        <v>0</v>
      </c>
      <c r="V74" s="1045">
        <v>0</v>
      </c>
      <c r="W74" s="1045">
        <v>0</v>
      </c>
      <c r="X74" s="1043">
        <v>0</v>
      </c>
      <c r="Y74" s="1046">
        <v>0</v>
      </c>
      <c r="Z74" s="294" t="s">
        <v>1004</v>
      </c>
      <c r="AA74" s="200" t="s">
        <v>111</v>
      </c>
      <c r="AB74" s="1047" t="s">
        <v>242</v>
      </c>
      <c r="AC74" s="197" t="s">
        <v>59</v>
      </c>
      <c r="AD74" s="105" t="s">
        <v>67</v>
      </c>
      <c r="AE74" s="1048" t="s">
        <v>123</v>
      </c>
      <c r="AF74" s="1048"/>
    </row>
    <row r="75" spans="1:32" ht="26.4" outlineLevel="1" x14ac:dyDescent="0.25">
      <c r="A75" s="997" t="s">
        <v>618</v>
      </c>
      <c r="B75" s="1371" t="s">
        <v>54</v>
      </c>
      <c r="C75" s="1372" t="s">
        <v>700</v>
      </c>
      <c r="D75" s="1373" t="s">
        <v>664</v>
      </c>
      <c r="E75" s="1328" t="s">
        <v>13</v>
      </c>
      <c r="F75" s="1327" t="s">
        <v>13</v>
      </c>
      <c r="G75" s="1330">
        <f>15000-4024</f>
        <v>10976</v>
      </c>
      <c r="H75" s="1170">
        <v>0</v>
      </c>
      <c r="I75" s="1124">
        <v>0</v>
      </c>
      <c r="J75" s="1125">
        <v>10237.50266</v>
      </c>
      <c r="K75" s="1126">
        <v>0</v>
      </c>
      <c r="L75" s="1171">
        <f t="shared" si="11"/>
        <v>10976</v>
      </c>
      <c r="M75" s="1128">
        <v>12000</v>
      </c>
      <c r="N75" s="958">
        <v>-1024</v>
      </c>
      <c r="O75" s="1490">
        <f t="shared" si="10"/>
        <v>10976</v>
      </c>
      <c r="P75" s="1128">
        <v>0</v>
      </c>
      <c r="Q75" s="1128">
        <v>0</v>
      </c>
      <c r="R75" s="1126">
        <v>0</v>
      </c>
      <c r="S75" s="1491">
        <v>0</v>
      </c>
      <c r="T75" s="1547">
        <v>0</v>
      </c>
      <c r="U75" s="1126">
        <v>0</v>
      </c>
      <c r="V75" s="1493">
        <v>0</v>
      </c>
      <c r="W75" s="1493">
        <v>0</v>
      </c>
      <c r="X75" s="1491">
        <v>0</v>
      </c>
      <c r="Y75" s="1127">
        <v>0</v>
      </c>
      <c r="Z75" s="1548" t="s">
        <v>1144</v>
      </c>
      <c r="AA75" s="1327" t="s">
        <v>111</v>
      </c>
      <c r="AB75" s="1495" t="s">
        <v>242</v>
      </c>
      <c r="AC75" s="1373" t="s">
        <v>59</v>
      </c>
      <c r="AD75" s="1549" t="s">
        <v>67</v>
      </c>
      <c r="AE75" s="1446" t="s">
        <v>137</v>
      </c>
      <c r="AF75" s="1446"/>
    </row>
    <row r="76" spans="1:32" ht="26.4" outlineLevel="1" x14ac:dyDescent="0.25">
      <c r="A76" s="371" t="s">
        <v>619</v>
      </c>
      <c r="B76" s="1032" t="s">
        <v>54</v>
      </c>
      <c r="C76" s="1033" t="s">
        <v>701</v>
      </c>
      <c r="D76" s="36" t="s">
        <v>664</v>
      </c>
      <c r="E76" s="47" t="s">
        <v>13</v>
      </c>
      <c r="F76" s="35" t="s">
        <v>13</v>
      </c>
      <c r="G76" s="39">
        <v>11400</v>
      </c>
      <c r="H76" s="126">
        <v>0</v>
      </c>
      <c r="I76" s="976">
        <v>0</v>
      </c>
      <c r="J76" s="990">
        <v>9706.9827600000008</v>
      </c>
      <c r="K76" s="378">
        <v>0</v>
      </c>
      <c r="L76" s="572">
        <f t="shared" si="11"/>
        <v>10000</v>
      </c>
      <c r="M76" s="385">
        <v>11400</v>
      </c>
      <c r="N76" s="547">
        <v>-1400</v>
      </c>
      <c r="O76" s="547">
        <f t="shared" si="10"/>
        <v>10000</v>
      </c>
      <c r="P76" s="130">
        <v>1400</v>
      </c>
      <c r="Q76" s="130">
        <v>0</v>
      </c>
      <c r="R76" s="378">
        <v>0</v>
      </c>
      <c r="S76" s="741">
        <v>0</v>
      </c>
      <c r="T76" s="709">
        <v>0</v>
      </c>
      <c r="U76" s="378">
        <v>0</v>
      </c>
      <c r="V76" s="379">
        <v>0</v>
      </c>
      <c r="W76" s="379">
        <v>0</v>
      </c>
      <c r="X76" s="741">
        <v>0</v>
      </c>
      <c r="Y76" s="336">
        <v>0</v>
      </c>
      <c r="Z76" s="258" t="s">
        <v>1096</v>
      </c>
      <c r="AA76" s="35" t="s">
        <v>111</v>
      </c>
      <c r="AB76" s="381" t="s">
        <v>719</v>
      </c>
      <c r="AC76" s="36" t="s">
        <v>59</v>
      </c>
      <c r="AD76" s="44" t="s">
        <v>67</v>
      </c>
      <c r="AE76" s="878" t="s">
        <v>139</v>
      </c>
      <c r="AF76" s="878"/>
    </row>
    <row r="77" spans="1:32" ht="26.4" outlineLevel="1" x14ac:dyDescent="0.25">
      <c r="A77" s="337" t="s">
        <v>620</v>
      </c>
      <c r="B77" s="338" t="s">
        <v>54</v>
      </c>
      <c r="C77" s="339" t="s">
        <v>603</v>
      </c>
      <c r="D77" s="110" t="s">
        <v>664</v>
      </c>
      <c r="E77" s="299" t="s">
        <v>13</v>
      </c>
      <c r="F77" s="278" t="s">
        <v>13</v>
      </c>
      <c r="G77" s="233">
        <v>0</v>
      </c>
      <c r="H77" s="340">
        <v>0</v>
      </c>
      <c r="I77" s="341">
        <v>0</v>
      </c>
      <c r="J77" s="342">
        <v>0</v>
      </c>
      <c r="K77" s="300">
        <v>0</v>
      </c>
      <c r="L77" s="366">
        <f t="shared" si="11"/>
        <v>0</v>
      </c>
      <c r="M77" s="291">
        <v>45300</v>
      </c>
      <c r="N77" s="235">
        <v>-45300</v>
      </c>
      <c r="O77" s="235">
        <f t="shared" si="10"/>
        <v>0</v>
      </c>
      <c r="P77" s="234">
        <v>0</v>
      </c>
      <c r="Q77" s="234">
        <v>0</v>
      </c>
      <c r="R77" s="300">
        <v>0</v>
      </c>
      <c r="S77" s="301">
        <v>0</v>
      </c>
      <c r="T77" s="302">
        <v>0</v>
      </c>
      <c r="U77" s="300">
        <v>0</v>
      </c>
      <c r="V77" s="238">
        <v>0</v>
      </c>
      <c r="W77" s="238">
        <v>0</v>
      </c>
      <c r="X77" s="301">
        <v>0</v>
      </c>
      <c r="Y77" s="343">
        <v>0</v>
      </c>
      <c r="Z77" s="306" t="s">
        <v>1145</v>
      </c>
      <c r="AA77" s="278" t="s">
        <v>60</v>
      </c>
      <c r="AB77" s="304" t="s">
        <v>284</v>
      </c>
      <c r="AC77" s="239" t="s">
        <v>59</v>
      </c>
      <c r="AD77" s="239" t="s">
        <v>67</v>
      </c>
      <c r="AE77" s="232" t="s">
        <v>138</v>
      </c>
      <c r="AF77" s="232"/>
    </row>
    <row r="78" spans="1:32" ht="26.4" outlineLevel="1" x14ac:dyDescent="0.25">
      <c r="A78" s="371" t="s">
        <v>621</v>
      </c>
      <c r="B78" s="1032" t="s">
        <v>54</v>
      </c>
      <c r="C78" s="1033" t="s">
        <v>604</v>
      </c>
      <c r="D78" s="36" t="s">
        <v>664</v>
      </c>
      <c r="E78" s="47" t="s">
        <v>13</v>
      </c>
      <c r="F78" s="35" t="s">
        <v>13</v>
      </c>
      <c r="G78" s="39">
        <f>18000+32000</f>
        <v>50000</v>
      </c>
      <c r="H78" s="126">
        <v>0</v>
      </c>
      <c r="I78" s="976">
        <v>0</v>
      </c>
      <c r="J78" s="990">
        <v>0</v>
      </c>
      <c r="K78" s="378">
        <v>0</v>
      </c>
      <c r="L78" s="572">
        <f t="shared" si="11"/>
        <v>0</v>
      </c>
      <c r="M78" s="385">
        <v>30000</v>
      </c>
      <c r="N78" s="547">
        <v>-30000</v>
      </c>
      <c r="O78" s="547">
        <f t="shared" si="10"/>
        <v>0</v>
      </c>
      <c r="P78" s="130">
        <v>20000</v>
      </c>
      <c r="Q78" s="130">
        <v>30000</v>
      </c>
      <c r="R78" s="378">
        <v>0</v>
      </c>
      <c r="S78" s="741">
        <v>0</v>
      </c>
      <c r="T78" s="709">
        <v>0</v>
      </c>
      <c r="U78" s="378">
        <v>0</v>
      </c>
      <c r="V78" s="379">
        <v>0</v>
      </c>
      <c r="W78" s="379">
        <v>0</v>
      </c>
      <c r="X78" s="741">
        <v>0</v>
      </c>
      <c r="Y78" s="336">
        <v>0</v>
      </c>
      <c r="Z78" s="258" t="s">
        <v>1097</v>
      </c>
      <c r="AA78" s="35" t="s">
        <v>5</v>
      </c>
      <c r="AB78" s="381" t="s">
        <v>674</v>
      </c>
      <c r="AC78" s="36" t="s">
        <v>58</v>
      </c>
      <c r="AD78" s="44" t="s">
        <v>67</v>
      </c>
      <c r="AE78" s="878" t="s">
        <v>130</v>
      </c>
      <c r="AF78" s="878"/>
    </row>
    <row r="79" spans="1:32" ht="26.4" outlineLevel="1" x14ac:dyDescent="0.25">
      <c r="A79" s="1034" t="s">
        <v>622</v>
      </c>
      <c r="B79" s="1035" t="s">
        <v>54</v>
      </c>
      <c r="C79" s="1036" t="s">
        <v>605</v>
      </c>
      <c r="D79" s="197" t="s">
        <v>664</v>
      </c>
      <c r="E79" s="46" t="s">
        <v>13</v>
      </c>
      <c r="F79" s="200" t="s">
        <v>13</v>
      </c>
      <c r="G79" s="198">
        <f>20000+17000-16500</f>
        <v>20500</v>
      </c>
      <c r="H79" s="199">
        <v>0</v>
      </c>
      <c r="I79" s="1037">
        <v>0</v>
      </c>
      <c r="J79" s="1038">
        <v>0</v>
      </c>
      <c r="K79" s="1039">
        <v>0</v>
      </c>
      <c r="L79" s="1040">
        <f t="shared" ref="L79:L108" si="12">O79-K79</f>
        <v>20500</v>
      </c>
      <c r="M79" s="1049">
        <v>20000</v>
      </c>
      <c r="N79" s="1042">
        <v>500</v>
      </c>
      <c r="O79" s="1042">
        <f t="shared" si="10"/>
        <v>20500</v>
      </c>
      <c r="P79" s="1041">
        <v>0</v>
      </c>
      <c r="Q79" s="1041">
        <v>0</v>
      </c>
      <c r="R79" s="1039">
        <v>0</v>
      </c>
      <c r="S79" s="1043">
        <v>0</v>
      </c>
      <c r="T79" s="1044">
        <v>0</v>
      </c>
      <c r="U79" s="1039">
        <v>0</v>
      </c>
      <c r="V79" s="1045">
        <v>0</v>
      </c>
      <c r="W79" s="1045">
        <v>0</v>
      </c>
      <c r="X79" s="1043">
        <v>0</v>
      </c>
      <c r="Y79" s="1046">
        <v>0</v>
      </c>
      <c r="Z79" s="294" t="s">
        <v>1146</v>
      </c>
      <c r="AA79" s="200" t="s">
        <v>111</v>
      </c>
      <c r="AB79" s="1047" t="s">
        <v>242</v>
      </c>
      <c r="AC79" s="197" t="s">
        <v>59</v>
      </c>
      <c r="AD79" s="105" t="s">
        <v>68</v>
      </c>
      <c r="AE79" s="1048" t="s">
        <v>130</v>
      </c>
      <c r="AF79" s="1048"/>
    </row>
    <row r="80" spans="1:32" ht="27" outlineLevel="1" thickBot="1" x14ac:dyDescent="0.3">
      <c r="A80" s="1050" t="s">
        <v>638</v>
      </c>
      <c r="B80" s="1345" t="s">
        <v>654</v>
      </c>
      <c r="C80" s="1374" t="s">
        <v>639</v>
      </c>
      <c r="D80" s="1347" t="s">
        <v>664</v>
      </c>
      <c r="E80" s="1348" t="s">
        <v>13</v>
      </c>
      <c r="F80" s="1347" t="s">
        <v>13</v>
      </c>
      <c r="G80" s="1350">
        <f>34614-9614+3760</f>
        <v>28760</v>
      </c>
      <c r="H80" s="1172">
        <v>18760.048039999998</v>
      </c>
      <c r="I80" s="1173">
        <v>1859.9443699999999</v>
      </c>
      <c r="J80" s="1174">
        <v>5447.67112</v>
      </c>
      <c r="K80" s="1175">
        <v>1859.9443699999999</v>
      </c>
      <c r="L80" s="1176">
        <f t="shared" si="12"/>
        <v>8140.007590000002</v>
      </c>
      <c r="M80" s="1177">
        <v>9999.9519600000021</v>
      </c>
      <c r="N80" s="617">
        <v>0</v>
      </c>
      <c r="O80" s="1550">
        <f t="shared" si="10"/>
        <v>9999.9519600000021</v>
      </c>
      <c r="P80" s="1177">
        <v>0</v>
      </c>
      <c r="Q80" s="1520">
        <v>0</v>
      </c>
      <c r="R80" s="1175">
        <v>0</v>
      </c>
      <c r="S80" s="1519">
        <v>0</v>
      </c>
      <c r="T80" s="1520">
        <v>0</v>
      </c>
      <c r="U80" s="1175">
        <v>0</v>
      </c>
      <c r="V80" s="1521">
        <v>0</v>
      </c>
      <c r="W80" s="1521">
        <v>0</v>
      </c>
      <c r="X80" s="1519">
        <v>0</v>
      </c>
      <c r="Y80" s="1522">
        <v>0</v>
      </c>
      <c r="Z80" s="1523" t="s">
        <v>1098</v>
      </c>
      <c r="AA80" s="1347" t="s">
        <v>111</v>
      </c>
      <c r="AB80" s="1525" t="s">
        <v>242</v>
      </c>
      <c r="AC80" s="1551" t="s">
        <v>59</v>
      </c>
      <c r="AD80" s="1526" t="s">
        <v>68</v>
      </c>
      <c r="AE80" s="1349" t="s">
        <v>120</v>
      </c>
      <c r="AF80" s="1349"/>
    </row>
    <row r="81" spans="1:32" ht="31.2" outlineLevel="1" x14ac:dyDescent="0.25">
      <c r="A81" s="371" t="s">
        <v>745</v>
      </c>
      <c r="B81" s="372" t="s">
        <v>819</v>
      </c>
      <c r="C81" s="1051" t="s">
        <v>702</v>
      </c>
      <c r="D81" s="35" t="s">
        <v>782</v>
      </c>
      <c r="E81" s="47" t="s">
        <v>13</v>
      </c>
      <c r="F81" s="35" t="s">
        <v>13</v>
      </c>
      <c r="G81" s="39">
        <f>17500+200+128682</f>
        <v>146382</v>
      </c>
      <c r="H81" s="126">
        <v>0</v>
      </c>
      <c r="I81" s="976">
        <v>6137.6415900000002</v>
      </c>
      <c r="J81" s="990">
        <v>3394.3320199999998</v>
      </c>
      <c r="K81" s="378">
        <v>6137.6415900000002</v>
      </c>
      <c r="L81" s="572">
        <f t="shared" si="12"/>
        <v>3862.3584099999998</v>
      </c>
      <c r="M81" s="130">
        <v>17700</v>
      </c>
      <c r="N81" s="547">
        <v>-7700</v>
      </c>
      <c r="O81" s="547">
        <f t="shared" si="10"/>
        <v>10000</v>
      </c>
      <c r="P81" s="130">
        <v>80000</v>
      </c>
      <c r="Q81" s="380">
        <f>28682+20000+7700</f>
        <v>56382</v>
      </c>
      <c r="R81" s="378">
        <v>0</v>
      </c>
      <c r="S81" s="741">
        <v>0</v>
      </c>
      <c r="T81" s="380">
        <v>0</v>
      </c>
      <c r="U81" s="378">
        <v>0</v>
      </c>
      <c r="V81" s="379">
        <v>0</v>
      </c>
      <c r="W81" s="379">
        <v>0</v>
      </c>
      <c r="X81" s="741">
        <v>0</v>
      </c>
      <c r="Y81" s="336">
        <v>0</v>
      </c>
      <c r="Z81" s="257" t="s">
        <v>1099</v>
      </c>
      <c r="AA81" s="35" t="s">
        <v>9</v>
      </c>
      <c r="AB81" s="381" t="s">
        <v>674</v>
      </c>
      <c r="AC81" s="712" t="s">
        <v>59</v>
      </c>
      <c r="AD81" s="109" t="s">
        <v>67</v>
      </c>
      <c r="AE81" s="869" t="s">
        <v>120</v>
      </c>
      <c r="AF81" s="869" t="s">
        <v>63</v>
      </c>
    </row>
    <row r="82" spans="1:32" ht="31.2" outlineLevel="1" x14ac:dyDescent="0.25">
      <c r="A82" s="337" t="s">
        <v>730</v>
      </c>
      <c r="B82" s="231" t="s">
        <v>54</v>
      </c>
      <c r="C82" s="365" t="s">
        <v>703</v>
      </c>
      <c r="D82" s="278" t="s">
        <v>782</v>
      </c>
      <c r="E82" s="299" t="s">
        <v>13</v>
      </c>
      <c r="F82" s="278" t="s">
        <v>13</v>
      </c>
      <c r="G82" s="233">
        <v>0</v>
      </c>
      <c r="H82" s="340">
        <v>0</v>
      </c>
      <c r="I82" s="341">
        <v>0</v>
      </c>
      <c r="J82" s="342">
        <v>0</v>
      </c>
      <c r="K82" s="300">
        <v>0</v>
      </c>
      <c r="L82" s="366">
        <f t="shared" si="12"/>
        <v>0</v>
      </c>
      <c r="M82" s="234">
        <v>20000</v>
      </c>
      <c r="N82" s="235">
        <v>-20000</v>
      </c>
      <c r="O82" s="235">
        <f t="shared" si="10"/>
        <v>0</v>
      </c>
      <c r="P82" s="234">
        <v>0</v>
      </c>
      <c r="Q82" s="303">
        <v>0</v>
      </c>
      <c r="R82" s="300">
        <v>0</v>
      </c>
      <c r="S82" s="301">
        <v>0</v>
      </c>
      <c r="T82" s="303">
        <v>0</v>
      </c>
      <c r="U82" s="300">
        <v>0</v>
      </c>
      <c r="V82" s="238">
        <v>0</v>
      </c>
      <c r="W82" s="238">
        <v>0</v>
      </c>
      <c r="X82" s="301">
        <v>0</v>
      </c>
      <c r="Y82" s="343">
        <v>0</v>
      </c>
      <c r="Z82" s="297" t="s">
        <v>1100</v>
      </c>
      <c r="AA82" s="278" t="s">
        <v>60</v>
      </c>
      <c r="AB82" s="304" t="s">
        <v>425</v>
      </c>
      <c r="AC82" s="367" t="s">
        <v>58</v>
      </c>
      <c r="AD82" s="279" t="s">
        <v>68</v>
      </c>
      <c r="AE82" s="308" t="s">
        <v>340</v>
      </c>
      <c r="AF82" s="308" t="s">
        <v>63</v>
      </c>
    </row>
    <row r="83" spans="1:32" ht="31.2" outlineLevel="1" x14ac:dyDescent="0.25">
      <c r="A83" s="371" t="s">
        <v>731</v>
      </c>
      <c r="B83" s="383" t="s">
        <v>54</v>
      </c>
      <c r="C83" s="1051" t="s">
        <v>704</v>
      </c>
      <c r="D83" s="35" t="s">
        <v>782</v>
      </c>
      <c r="E83" s="47" t="s">
        <v>13</v>
      </c>
      <c r="F83" s="35" t="s">
        <v>13</v>
      </c>
      <c r="G83" s="39">
        <v>6400</v>
      </c>
      <c r="H83" s="126">
        <v>0</v>
      </c>
      <c r="I83" s="976">
        <v>0</v>
      </c>
      <c r="J83" s="990">
        <v>0</v>
      </c>
      <c r="K83" s="378">
        <v>0</v>
      </c>
      <c r="L83" s="572">
        <f t="shared" si="12"/>
        <v>500</v>
      </c>
      <c r="M83" s="130">
        <v>3200</v>
      </c>
      <c r="N83" s="547">
        <v>-2700</v>
      </c>
      <c r="O83" s="547">
        <f t="shared" si="10"/>
        <v>500</v>
      </c>
      <c r="P83" s="130">
        <f>3200+2700</f>
        <v>5900</v>
      </c>
      <c r="Q83" s="380">
        <v>0</v>
      </c>
      <c r="R83" s="378">
        <v>0</v>
      </c>
      <c r="S83" s="741">
        <v>0</v>
      </c>
      <c r="T83" s="380">
        <v>0</v>
      </c>
      <c r="U83" s="378">
        <v>0</v>
      </c>
      <c r="V83" s="379">
        <v>0</v>
      </c>
      <c r="W83" s="379">
        <v>0</v>
      </c>
      <c r="X83" s="741">
        <v>0</v>
      </c>
      <c r="Y83" s="336">
        <v>0</v>
      </c>
      <c r="Z83" s="257" t="s">
        <v>1101</v>
      </c>
      <c r="AA83" s="35" t="s">
        <v>9</v>
      </c>
      <c r="AB83" s="381" t="s">
        <v>584</v>
      </c>
      <c r="AC83" s="712" t="s">
        <v>59</v>
      </c>
      <c r="AD83" s="109" t="s">
        <v>67</v>
      </c>
      <c r="AE83" s="869" t="s">
        <v>119</v>
      </c>
      <c r="AF83" s="869" t="s">
        <v>63</v>
      </c>
    </row>
    <row r="84" spans="1:32" ht="31.2" outlineLevel="1" x14ac:dyDescent="0.25">
      <c r="A84" s="371" t="s">
        <v>732</v>
      </c>
      <c r="B84" s="383" t="s">
        <v>54</v>
      </c>
      <c r="C84" s="1051" t="s">
        <v>705</v>
      </c>
      <c r="D84" s="35" t="s">
        <v>782</v>
      </c>
      <c r="E84" s="47" t="s">
        <v>13</v>
      </c>
      <c r="F84" s="35" t="s">
        <v>13</v>
      </c>
      <c r="G84" s="39">
        <v>7500</v>
      </c>
      <c r="H84" s="126">
        <v>0</v>
      </c>
      <c r="I84" s="976">
        <v>0</v>
      </c>
      <c r="J84" s="990">
        <v>0</v>
      </c>
      <c r="K84" s="378">
        <v>0</v>
      </c>
      <c r="L84" s="572">
        <f t="shared" si="12"/>
        <v>500</v>
      </c>
      <c r="M84" s="130">
        <v>7500</v>
      </c>
      <c r="N84" s="547">
        <v>-7000</v>
      </c>
      <c r="O84" s="547">
        <f t="shared" si="10"/>
        <v>500</v>
      </c>
      <c r="P84" s="130">
        <v>5000</v>
      </c>
      <c r="Q84" s="380">
        <v>2000</v>
      </c>
      <c r="R84" s="378">
        <v>0</v>
      </c>
      <c r="S84" s="741">
        <v>0</v>
      </c>
      <c r="T84" s="380">
        <v>0</v>
      </c>
      <c r="U84" s="378">
        <v>0</v>
      </c>
      <c r="V84" s="379">
        <v>0</v>
      </c>
      <c r="W84" s="379">
        <v>0</v>
      </c>
      <c r="X84" s="741">
        <v>0</v>
      </c>
      <c r="Y84" s="336">
        <v>0</v>
      </c>
      <c r="Z84" s="257" t="s">
        <v>1102</v>
      </c>
      <c r="AA84" s="35" t="s">
        <v>9</v>
      </c>
      <c r="AB84" s="381" t="s">
        <v>674</v>
      </c>
      <c r="AC84" s="712" t="s">
        <v>59</v>
      </c>
      <c r="AD84" s="109" t="s">
        <v>67</v>
      </c>
      <c r="AE84" s="869" t="s">
        <v>340</v>
      </c>
      <c r="AF84" s="869"/>
    </row>
    <row r="85" spans="1:32" ht="26.4" outlineLevel="1" x14ac:dyDescent="0.25">
      <c r="A85" s="371" t="s">
        <v>733</v>
      </c>
      <c r="B85" s="383" t="s">
        <v>54</v>
      </c>
      <c r="C85" s="1051" t="s">
        <v>706</v>
      </c>
      <c r="D85" s="35" t="s">
        <v>782</v>
      </c>
      <c r="E85" s="47" t="s">
        <v>13</v>
      </c>
      <c r="F85" s="35" t="s">
        <v>13</v>
      </c>
      <c r="G85" s="39">
        <v>60000</v>
      </c>
      <c r="H85" s="126">
        <v>0</v>
      </c>
      <c r="I85" s="976">
        <v>0</v>
      </c>
      <c r="J85" s="990">
        <v>437.32598000000002</v>
      </c>
      <c r="K85" s="378">
        <v>0</v>
      </c>
      <c r="L85" s="572">
        <f t="shared" si="12"/>
        <v>11000</v>
      </c>
      <c r="M85" s="130">
        <v>11500</v>
      </c>
      <c r="N85" s="547">
        <v>-500</v>
      </c>
      <c r="O85" s="547">
        <f t="shared" si="10"/>
        <v>11000</v>
      </c>
      <c r="P85" s="130">
        <v>49000</v>
      </c>
      <c r="Q85" s="380">
        <v>0</v>
      </c>
      <c r="R85" s="378">
        <v>0</v>
      </c>
      <c r="S85" s="741">
        <v>0</v>
      </c>
      <c r="T85" s="380">
        <v>0</v>
      </c>
      <c r="U85" s="378">
        <v>0</v>
      </c>
      <c r="V85" s="379">
        <v>0</v>
      </c>
      <c r="W85" s="379">
        <v>0</v>
      </c>
      <c r="X85" s="741">
        <v>0</v>
      </c>
      <c r="Y85" s="336">
        <v>0</v>
      </c>
      <c r="Z85" s="258" t="s">
        <v>1103</v>
      </c>
      <c r="AA85" s="35" t="s">
        <v>9</v>
      </c>
      <c r="AB85" s="381" t="s">
        <v>582</v>
      </c>
      <c r="AC85" s="712" t="s">
        <v>59</v>
      </c>
      <c r="AD85" s="109" t="s">
        <v>67</v>
      </c>
      <c r="AE85" s="869" t="s">
        <v>119</v>
      </c>
      <c r="AF85" s="869" t="s">
        <v>63</v>
      </c>
    </row>
    <row r="86" spans="1:32" ht="26.4" outlineLevel="1" x14ac:dyDescent="0.25">
      <c r="A86" s="371" t="s">
        <v>734</v>
      </c>
      <c r="B86" s="383" t="s">
        <v>846</v>
      </c>
      <c r="C86" s="1051" t="s">
        <v>707</v>
      </c>
      <c r="D86" s="35" t="s">
        <v>782</v>
      </c>
      <c r="E86" s="47" t="s">
        <v>13</v>
      </c>
      <c r="F86" s="35" t="s">
        <v>13</v>
      </c>
      <c r="G86" s="39">
        <v>80000</v>
      </c>
      <c r="H86" s="126">
        <v>0</v>
      </c>
      <c r="I86" s="976">
        <v>0</v>
      </c>
      <c r="J86" s="990">
        <v>607.41999999999996</v>
      </c>
      <c r="K86" s="378">
        <v>0</v>
      </c>
      <c r="L86" s="572">
        <f t="shared" si="12"/>
        <v>607.41999999999996</v>
      </c>
      <c r="M86" s="130">
        <v>1000</v>
      </c>
      <c r="N86" s="547">
        <v>-392.58000000000004</v>
      </c>
      <c r="O86" s="547">
        <f t="shared" si="10"/>
        <v>607.41999999999996</v>
      </c>
      <c r="P86" s="130">
        <f>50000-607.42</f>
        <v>49392.58</v>
      </c>
      <c r="Q86" s="380">
        <v>30000</v>
      </c>
      <c r="R86" s="378">
        <v>0</v>
      </c>
      <c r="S86" s="741">
        <v>0</v>
      </c>
      <c r="T86" s="380">
        <v>0</v>
      </c>
      <c r="U86" s="378">
        <v>0</v>
      </c>
      <c r="V86" s="379">
        <v>0</v>
      </c>
      <c r="W86" s="379">
        <v>0</v>
      </c>
      <c r="X86" s="741">
        <v>0</v>
      </c>
      <c r="Y86" s="336">
        <v>0</v>
      </c>
      <c r="Z86" s="258" t="s">
        <v>1147</v>
      </c>
      <c r="AA86" s="35" t="s">
        <v>7</v>
      </c>
      <c r="AB86" s="381" t="s">
        <v>573</v>
      </c>
      <c r="AC86" s="712" t="s">
        <v>58</v>
      </c>
      <c r="AD86" s="109" t="s">
        <v>68</v>
      </c>
      <c r="AE86" s="869" t="s">
        <v>135</v>
      </c>
      <c r="AF86" s="869" t="s">
        <v>63</v>
      </c>
    </row>
    <row r="87" spans="1:32" ht="26.4" outlineLevel="1" x14ac:dyDescent="0.25">
      <c r="A87" s="371" t="s">
        <v>735</v>
      </c>
      <c r="B87" s="383" t="s">
        <v>54</v>
      </c>
      <c r="C87" s="1051" t="s">
        <v>708</v>
      </c>
      <c r="D87" s="35" t="s">
        <v>782</v>
      </c>
      <c r="E87" s="47" t="s">
        <v>13</v>
      </c>
      <c r="F87" s="35" t="s">
        <v>13</v>
      </c>
      <c r="G87" s="39">
        <v>120000</v>
      </c>
      <c r="H87" s="126">
        <v>0</v>
      </c>
      <c r="I87" s="976">
        <v>0</v>
      </c>
      <c r="J87" s="990">
        <v>0</v>
      </c>
      <c r="K87" s="378">
        <v>0</v>
      </c>
      <c r="L87" s="572">
        <f t="shared" si="12"/>
        <v>1500</v>
      </c>
      <c r="M87" s="130">
        <v>30000</v>
      </c>
      <c r="N87" s="547">
        <v>-28500</v>
      </c>
      <c r="O87" s="547">
        <f t="shared" si="10"/>
        <v>1500</v>
      </c>
      <c r="P87" s="130">
        <v>70000</v>
      </c>
      <c r="Q87" s="380">
        <v>48500</v>
      </c>
      <c r="R87" s="378">
        <v>0</v>
      </c>
      <c r="S87" s="741">
        <v>0</v>
      </c>
      <c r="T87" s="380">
        <v>0</v>
      </c>
      <c r="U87" s="378">
        <v>0</v>
      </c>
      <c r="V87" s="379">
        <v>0</v>
      </c>
      <c r="W87" s="379">
        <v>0</v>
      </c>
      <c r="X87" s="741">
        <v>0</v>
      </c>
      <c r="Y87" s="336">
        <v>0</v>
      </c>
      <c r="Z87" s="258" t="s">
        <v>1148</v>
      </c>
      <c r="AA87" s="35" t="s">
        <v>9</v>
      </c>
      <c r="AB87" s="381" t="s">
        <v>242</v>
      </c>
      <c r="AC87" s="712" t="s">
        <v>59</v>
      </c>
      <c r="AD87" s="109" t="s">
        <v>67</v>
      </c>
      <c r="AE87" s="869" t="s">
        <v>513</v>
      </c>
      <c r="AF87" s="869" t="s">
        <v>63</v>
      </c>
    </row>
    <row r="88" spans="1:32" ht="26.4" outlineLevel="1" x14ac:dyDescent="0.25">
      <c r="A88" s="371" t="s">
        <v>736</v>
      </c>
      <c r="B88" s="383" t="s">
        <v>54</v>
      </c>
      <c r="C88" s="1051" t="s">
        <v>1005</v>
      </c>
      <c r="D88" s="35" t="s">
        <v>782</v>
      </c>
      <c r="E88" s="47" t="s">
        <v>13</v>
      </c>
      <c r="F88" s="35" t="s">
        <v>13</v>
      </c>
      <c r="G88" s="39">
        <v>70135</v>
      </c>
      <c r="H88" s="126">
        <v>0</v>
      </c>
      <c r="I88" s="976">
        <v>0</v>
      </c>
      <c r="J88" s="990">
        <v>25296.038130000001</v>
      </c>
      <c r="K88" s="378">
        <v>0</v>
      </c>
      <c r="L88" s="572">
        <f t="shared" si="12"/>
        <v>47900</v>
      </c>
      <c r="M88" s="130">
        <v>46000</v>
      </c>
      <c r="N88" s="547">
        <v>1900</v>
      </c>
      <c r="O88" s="547">
        <f t="shared" si="10"/>
        <v>47900</v>
      </c>
      <c r="P88" s="130">
        <f>15135+9000-1900</f>
        <v>22235</v>
      </c>
      <c r="Q88" s="380">
        <v>0</v>
      </c>
      <c r="R88" s="378">
        <v>0</v>
      </c>
      <c r="S88" s="741">
        <v>0</v>
      </c>
      <c r="T88" s="380">
        <v>0</v>
      </c>
      <c r="U88" s="378">
        <v>0</v>
      </c>
      <c r="V88" s="379">
        <v>0</v>
      </c>
      <c r="W88" s="379">
        <v>0</v>
      </c>
      <c r="X88" s="741">
        <v>0</v>
      </c>
      <c r="Y88" s="336">
        <v>0</v>
      </c>
      <c r="Z88" s="258" t="s">
        <v>1104</v>
      </c>
      <c r="AA88" s="35" t="s">
        <v>111</v>
      </c>
      <c r="AB88" s="381" t="s">
        <v>719</v>
      </c>
      <c r="AC88" s="712" t="s">
        <v>59</v>
      </c>
      <c r="AD88" s="109" t="s">
        <v>67</v>
      </c>
      <c r="AE88" s="869" t="s">
        <v>120</v>
      </c>
      <c r="AF88" s="869" t="s">
        <v>63</v>
      </c>
    </row>
    <row r="89" spans="1:32" ht="26.4" outlineLevel="1" x14ac:dyDescent="0.25">
      <c r="A89" s="371" t="s">
        <v>737</v>
      </c>
      <c r="B89" s="383" t="s">
        <v>847</v>
      </c>
      <c r="C89" s="1051" t="s">
        <v>709</v>
      </c>
      <c r="D89" s="35" t="s">
        <v>782</v>
      </c>
      <c r="E89" s="47" t="s">
        <v>13</v>
      </c>
      <c r="F89" s="35" t="s">
        <v>13</v>
      </c>
      <c r="G89" s="39">
        <v>108208</v>
      </c>
      <c r="H89" s="126">
        <v>0</v>
      </c>
      <c r="I89" s="976">
        <v>0</v>
      </c>
      <c r="J89" s="990">
        <v>33334.644639999999</v>
      </c>
      <c r="K89" s="378">
        <v>0</v>
      </c>
      <c r="L89" s="572">
        <f t="shared" si="12"/>
        <v>102000</v>
      </c>
      <c r="M89" s="130">
        <v>70000</v>
      </c>
      <c r="N89" s="547">
        <v>32000</v>
      </c>
      <c r="O89" s="547">
        <f t="shared" si="10"/>
        <v>102000</v>
      </c>
      <c r="P89" s="130">
        <f>58208-20000-32000</f>
        <v>6208</v>
      </c>
      <c r="Q89" s="380">
        <v>0</v>
      </c>
      <c r="R89" s="378">
        <v>0</v>
      </c>
      <c r="S89" s="741">
        <v>0</v>
      </c>
      <c r="T89" s="380">
        <v>0</v>
      </c>
      <c r="U89" s="378">
        <v>0</v>
      </c>
      <c r="V89" s="379">
        <v>0</v>
      </c>
      <c r="W89" s="379">
        <v>0</v>
      </c>
      <c r="X89" s="741">
        <v>0</v>
      </c>
      <c r="Y89" s="336">
        <v>0</v>
      </c>
      <c r="Z89" s="258" t="s">
        <v>1105</v>
      </c>
      <c r="AA89" s="35" t="s">
        <v>9</v>
      </c>
      <c r="AB89" s="44" t="s">
        <v>582</v>
      </c>
      <c r="AC89" s="712" t="s">
        <v>59</v>
      </c>
      <c r="AD89" s="109" t="s">
        <v>67</v>
      </c>
      <c r="AE89" s="869" t="s">
        <v>120</v>
      </c>
      <c r="AF89" s="869" t="s">
        <v>63</v>
      </c>
    </row>
    <row r="90" spans="1:32" ht="26.4" outlineLevel="1" x14ac:dyDescent="0.25">
      <c r="A90" s="371" t="s">
        <v>738</v>
      </c>
      <c r="B90" s="383" t="s">
        <v>54</v>
      </c>
      <c r="C90" s="1051" t="s">
        <v>710</v>
      </c>
      <c r="D90" s="35" t="s">
        <v>782</v>
      </c>
      <c r="E90" s="47" t="s">
        <v>13</v>
      </c>
      <c r="F90" s="35" t="s">
        <v>13</v>
      </c>
      <c r="G90" s="39">
        <v>150000</v>
      </c>
      <c r="H90" s="126">
        <v>0</v>
      </c>
      <c r="I90" s="976">
        <v>0</v>
      </c>
      <c r="J90" s="990">
        <v>0</v>
      </c>
      <c r="K90" s="378">
        <v>0</v>
      </c>
      <c r="L90" s="572">
        <f t="shared" si="12"/>
        <v>0</v>
      </c>
      <c r="M90" s="130">
        <v>5000</v>
      </c>
      <c r="N90" s="547">
        <v>-5000</v>
      </c>
      <c r="O90" s="547">
        <f t="shared" si="10"/>
        <v>0</v>
      </c>
      <c r="P90" s="130">
        <v>70000</v>
      </c>
      <c r="Q90" s="380">
        <v>80000</v>
      </c>
      <c r="R90" s="378">
        <v>0</v>
      </c>
      <c r="S90" s="741">
        <v>0</v>
      </c>
      <c r="T90" s="380">
        <v>0</v>
      </c>
      <c r="U90" s="378">
        <v>0</v>
      </c>
      <c r="V90" s="379">
        <v>0</v>
      </c>
      <c r="W90" s="379">
        <v>0</v>
      </c>
      <c r="X90" s="741">
        <v>0</v>
      </c>
      <c r="Y90" s="336">
        <v>0</v>
      </c>
      <c r="Z90" s="258" t="s">
        <v>1088</v>
      </c>
      <c r="AA90" s="35" t="s">
        <v>5</v>
      </c>
      <c r="AB90" s="381" t="s">
        <v>674</v>
      </c>
      <c r="AC90" s="712" t="s">
        <v>58</v>
      </c>
      <c r="AD90" s="109" t="s">
        <v>68</v>
      </c>
      <c r="AE90" s="869" t="s">
        <v>132</v>
      </c>
      <c r="AF90" s="869" t="s">
        <v>63</v>
      </c>
    </row>
    <row r="91" spans="1:32" ht="26.4" outlineLevel="1" x14ac:dyDescent="0.25">
      <c r="A91" s="371" t="s">
        <v>739</v>
      </c>
      <c r="B91" s="383" t="s">
        <v>854</v>
      </c>
      <c r="C91" s="1051" t="s">
        <v>711</v>
      </c>
      <c r="D91" s="35" t="s">
        <v>782</v>
      </c>
      <c r="E91" s="47" t="s">
        <v>13</v>
      </c>
      <c r="F91" s="35" t="s">
        <v>13</v>
      </c>
      <c r="G91" s="39">
        <v>50900</v>
      </c>
      <c r="H91" s="126">
        <v>0</v>
      </c>
      <c r="I91" s="976">
        <v>0</v>
      </c>
      <c r="J91" s="990">
        <v>1232.5277900000001</v>
      </c>
      <c r="K91" s="378">
        <v>0</v>
      </c>
      <c r="L91" s="572">
        <f t="shared" si="12"/>
        <v>41000</v>
      </c>
      <c r="M91" s="130">
        <v>35000</v>
      </c>
      <c r="N91" s="547">
        <v>6000</v>
      </c>
      <c r="O91" s="547">
        <f t="shared" si="10"/>
        <v>41000</v>
      </c>
      <c r="P91" s="130">
        <f>15900-6000</f>
        <v>9900</v>
      </c>
      <c r="Q91" s="380">
        <v>0</v>
      </c>
      <c r="R91" s="378">
        <v>0</v>
      </c>
      <c r="S91" s="741">
        <v>0</v>
      </c>
      <c r="T91" s="380">
        <v>0</v>
      </c>
      <c r="U91" s="378">
        <v>0</v>
      </c>
      <c r="V91" s="379">
        <v>0</v>
      </c>
      <c r="W91" s="379">
        <v>0</v>
      </c>
      <c r="X91" s="741">
        <v>0</v>
      </c>
      <c r="Y91" s="336">
        <v>0</v>
      </c>
      <c r="Z91" s="257" t="s">
        <v>1106</v>
      </c>
      <c r="AA91" s="35" t="s">
        <v>9</v>
      </c>
      <c r="AB91" s="381" t="s">
        <v>582</v>
      </c>
      <c r="AC91" s="712" t="s">
        <v>59</v>
      </c>
      <c r="AD91" s="109" t="s">
        <v>67</v>
      </c>
      <c r="AE91" s="869" t="s">
        <v>122</v>
      </c>
      <c r="AF91" s="869" t="s">
        <v>63</v>
      </c>
    </row>
    <row r="92" spans="1:32" ht="26.4" outlineLevel="1" x14ac:dyDescent="0.25">
      <c r="A92" s="371" t="s">
        <v>740</v>
      </c>
      <c r="B92" s="383" t="s">
        <v>54</v>
      </c>
      <c r="C92" s="1051" t="s">
        <v>712</v>
      </c>
      <c r="D92" s="35" t="s">
        <v>782</v>
      </c>
      <c r="E92" s="47" t="s">
        <v>13</v>
      </c>
      <c r="F92" s="35" t="s">
        <v>13</v>
      </c>
      <c r="G92" s="39">
        <v>15985</v>
      </c>
      <c r="H92" s="126">
        <v>0</v>
      </c>
      <c r="I92" s="976">
        <v>0</v>
      </c>
      <c r="J92" s="990">
        <v>0</v>
      </c>
      <c r="K92" s="378">
        <v>0</v>
      </c>
      <c r="L92" s="572">
        <f t="shared" si="12"/>
        <v>0</v>
      </c>
      <c r="M92" s="130">
        <v>11000</v>
      </c>
      <c r="N92" s="547">
        <v>-11000</v>
      </c>
      <c r="O92" s="547">
        <f t="shared" si="10"/>
        <v>0</v>
      </c>
      <c r="P92" s="130">
        <f>4985+11000</f>
        <v>15985</v>
      </c>
      <c r="Q92" s="380">
        <v>0</v>
      </c>
      <c r="R92" s="378">
        <v>0</v>
      </c>
      <c r="S92" s="741">
        <v>0</v>
      </c>
      <c r="T92" s="380">
        <v>0</v>
      </c>
      <c r="U92" s="378">
        <v>0</v>
      </c>
      <c r="V92" s="379">
        <v>0</v>
      </c>
      <c r="W92" s="379">
        <v>0</v>
      </c>
      <c r="X92" s="741">
        <v>0</v>
      </c>
      <c r="Y92" s="336">
        <v>0</v>
      </c>
      <c r="Z92" s="258" t="s">
        <v>1107</v>
      </c>
      <c r="AA92" s="35" t="s">
        <v>9</v>
      </c>
      <c r="AB92" s="381" t="s">
        <v>573</v>
      </c>
      <c r="AC92" s="712" t="s">
        <v>59</v>
      </c>
      <c r="AD92" s="109" t="s">
        <v>67</v>
      </c>
      <c r="AE92" s="869" t="s">
        <v>120</v>
      </c>
      <c r="AF92" s="869" t="s">
        <v>63</v>
      </c>
    </row>
    <row r="93" spans="1:32" ht="26.4" outlineLevel="1" x14ac:dyDescent="0.25">
      <c r="A93" s="371" t="s">
        <v>741</v>
      </c>
      <c r="B93" s="383" t="s">
        <v>54</v>
      </c>
      <c r="C93" s="1051" t="s">
        <v>837</v>
      </c>
      <c r="D93" s="35" t="s">
        <v>782</v>
      </c>
      <c r="E93" s="47" t="s">
        <v>13</v>
      </c>
      <c r="F93" s="35" t="s">
        <v>13</v>
      </c>
      <c r="G93" s="39">
        <v>7000</v>
      </c>
      <c r="H93" s="126">
        <v>0</v>
      </c>
      <c r="I93" s="976">
        <v>0</v>
      </c>
      <c r="J93" s="990">
        <v>0</v>
      </c>
      <c r="K93" s="378">
        <v>0</v>
      </c>
      <c r="L93" s="572">
        <f t="shared" si="12"/>
        <v>0</v>
      </c>
      <c r="M93" s="130">
        <v>500</v>
      </c>
      <c r="N93" s="547">
        <v>-500</v>
      </c>
      <c r="O93" s="547">
        <f t="shared" si="10"/>
        <v>0</v>
      </c>
      <c r="P93" s="130">
        <v>7000</v>
      </c>
      <c r="Q93" s="380">
        <v>0</v>
      </c>
      <c r="R93" s="378">
        <v>0</v>
      </c>
      <c r="S93" s="741">
        <v>0</v>
      </c>
      <c r="T93" s="380">
        <v>0</v>
      </c>
      <c r="U93" s="378">
        <v>0</v>
      </c>
      <c r="V93" s="379">
        <v>0</v>
      </c>
      <c r="W93" s="379">
        <v>0</v>
      </c>
      <c r="X93" s="741">
        <v>0</v>
      </c>
      <c r="Y93" s="336">
        <v>0</v>
      </c>
      <c r="Z93" s="258" t="s">
        <v>1103</v>
      </c>
      <c r="AA93" s="35" t="s">
        <v>5</v>
      </c>
      <c r="AB93" s="381" t="s">
        <v>755</v>
      </c>
      <c r="AC93" s="712" t="s">
        <v>58</v>
      </c>
      <c r="AD93" s="109" t="s">
        <v>67</v>
      </c>
      <c r="AE93" s="869" t="s">
        <v>137</v>
      </c>
      <c r="AF93" s="869" t="s">
        <v>63</v>
      </c>
    </row>
    <row r="94" spans="1:32" ht="31.2" outlineLevel="1" x14ac:dyDescent="0.25">
      <c r="A94" s="618" t="s">
        <v>742</v>
      </c>
      <c r="B94" s="1020" t="s">
        <v>54</v>
      </c>
      <c r="C94" s="1052" t="s">
        <v>713</v>
      </c>
      <c r="D94" s="350" t="s">
        <v>782</v>
      </c>
      <c r="E94" s="204" t="s">
        <v>13</v>
      </c>
      <c r="F94" s="350" t="s">
        <v>13</v>
      </c>
      <c r="G94" s="1053">
        <f>22311+62+1027+2100</f>
        <v>25500</v>
      </c>
      <c r="H94" s="1054">
        <v>0</v>
      </c>
      <c r="I94" s="1055">
        <v>0</v>
      </c>
      <c r="J94" s="1056">
        <v>0</v>
      </c>
      <c r="K94" s="960">
        <v>0</v>
      </c>
      <c r="L94" s="1057">
        <f t="shared" si="12"/>
        <v>0</v>
      </c>
      <c r="M94" s="626">
        <v>23400</v>
      </c>
      <c r="N94" s="627">
        <v>-23400</v>
      </c>
      <c r="O94" s="627">
        <f t="shared" si="10"/>
        <v>0</v>
      </c>
      <c r="P94" s="626">
        <v>25500</v>
      </c>
      <c r="Q94" s="959">
        <v>0</v>
      </c>
      <c r="R94" s="960">
        <v>0</v>
      </c>
      <c r="S94" s="961">
        <v>0</v>
      </c>
      <c r="T94" s="959">
        <v>0</v>
      </c>
      <c r="U94" s="960">
        <v>0</v>
      </c>
      <c r="V94" s="1058">
        <v>0</v>
      </c>
      <c r="W94" s="1058">
        <v>0</v>
      </c>
      <c r="X94" s="961">
        <v>0</v>
      </c>
      <c r="Y94" s="1059">
        <v>0</v>
      </c>
      <c r="Z94" s="259" t="s">
        <v>1149</v>
      </c>
      <c r="AA94" s="350" t="s">
        <v>5</v>
      </c>
      <c r="AB94" s="1060" t="s">
        <v>755</v>
      </c>
      <c r="AC94" s="1061" t="s">
        <v>58</v>
      </c>
      <c r="AD94" s="252" t="s">
        <v>68</v>
      </c>
      <c r="AE94" s="476" t="s">
        <v>125</v>
      </c>
      <c r="AF94" s="476" t="s">
        <v>63</v>
      </c>
    </row>
    <row r="95" spans="1:32" ht="26.4" outlineLevel="1" x14ac:dyDescent="0.25">
      <c r="A95" s="371" t="s">
        <v>743</v>
      </c>
      <c r="B95" s="383" t="s">
        <v>843</v>
      </c>
      <c r="C95" s="1051" t="s">
        <v>714</v>
      </c>
      <c r="D95" s="35" t="s">
        <v>782</v>
      </c>
      <c r="E95" s="47" t="s">
        <v>13</v>
      </c>
      <c r="F95" s="35" t="s">
        <v>13</v>
      </c>
      <c r="G95" s="39">
        <v>60394</v>
      </c>
      <c r="H95" s="126">
        <v>0</v>
      </c>
      <c r="I95" s="976">
        <v>0</v>
      </c>
      <c r="J95" s="990">
        <v>8747.7104799999997</v>
      </c>
      <c r="K95" s="378">
        <v>0</v>
      </c>
      <c r="L95" s="572">
        <f t="shared" si="12"/>
        <v>33200</v>
      </c>
      <c r="M95" s="130">
        <v>30000</v>
      </c>
      <c r="N95" s="547">
        <v>3200</v>
      </c>
      <c r="O95" s="547">
        <f t="shared" si="10"/>
        <v>33200</v>
      </c>
      <c r="P95" s="130">
        <f>16694-3200</f>
        <v>13494</v>
      </c>
      <c r="Q95" s="380">
        <v>0</v>
      </c>
      <c r="R95" s="378">
        <v>0</v>
      </c>
      <c r="S95" s="741">
        <v>13700</v>
      </c>
      <c r="T95" s="380">
        <v>0</v>
      </c>
      <c r="U95" s="378">
        <v>0</v>
      </c>
      <c r="V95" s="379">
        <v>0</v>
      </c>
      <c r="W95" s="379">
        <v>0</v>
      </c>
      <c r="X95" s="741">
        <v>0</v>
      </c>
      <c r="Y95" s="336">
        <v>0</v>
      </c>
      <c r="Z95" s="258" t="s">
        <v>1108</v>
      </c>
      <c r="AA95" s="35" t="s">
        <v>9</v>
      </c>
      <c r="AB95" s="381" t="s">
        <v>242</v>
      </c>
      <c r="AC95" s="712" t="s">
        <v>59</v>
      </c>
      <c r="AD95" s="109" t="s">
        <v>66</v>
      </c>
      <c r="AE95" s="869" t="s">
        <v>119</v>
      </c>
      <c r="AF95" s="869" t="s">
        <v>63</v>
      </c>
    </row>
    <row r="96" spans="1:32" ht="31.8" outlineLevel="1" thickBot="1" x14ac:dyDescent="0.3">
      <c r="A96" s="371" t="s">
        <v>744</v>
      </c>
      <c r="B96" s="383" t="s">
        <v>844</v>
      </c>
      <c r="C96" s="1051" t="s">
        <v>715</v>
      </c>
      <c r="D96" s="35" t="s">
        <v>782</v>
      </c>
      <c r="E96" s="47" t="s">
        <v>13</v>
      </c>
      <c r="F96" s="35" t="s">
        <v>13</v>
      </c>
      <c r="G96" s="39">
        <v>130335</v>
      </c>
      <c r="H96" s="126">
        <v>0</v>
      </c>
      <c r="I96" s="976">
        <v>0</v>
      </c>
      <c r="J96" s="990">
        <v>34347.788270000005</v>
      </c>
      <c r="K96" s="378">
        <v>0</v>
      </c>
      <c r="L96" s="572">
        <f t="shared" si="12"/>
        <v>78400</v>
      </c>
      <c r="M96" s="130">
        <v>71106</v>
      </c>
      <c r="N96" s="547">
        <v>7294</v>
      </c>
      <c r="O96" s="547">
        <f t="shared" si="10"/>
        <v>78400</v>
      </c>
      <c r="P96" s="130">
        <f>59229-7294</f>
        <v>51935</v>
      </c>
      <c r="Q96" s="380">
        <v>0</v>
      </c>
      <c r="R96" s="378">
        <v>0</v>
      </c>
      <c r="S96" s="741">
        <v>0</v>
      </c>
      <c r="T96" s="380">
        <v>0</v>
      </c>
      <c r="U96" s="378">
        <v>0</v>
      </c>
      <c r="V96" s="379">
        <v>0</v>
      </c>
      <c r="W96" s="379">
        <v>0</v>
      </c>
      <c r="X96" s="741">
        <v>0</v>
      </c>
      <c r="Y96" s="336">
        <v>0</v>
      </c>
      <c r="Z96" s="258" t="s">
        <v>1109</v>
      </c>
      <c r="AA96" s="35" t="s">
        <v>9</v>
      </c>
      <c r="AB96" s="381" t="s">
        <v>242</v>
      </c>
      <c r="AC96" s="712" t="s">
        <v>59</v>
      </c>
      <c r="AD96" s="109" t="s">
        <v>66</v>
      </c>
      <c r="AE96" s="869" t="s">
        <v>340</v>
      </c>
      <c r="AF96" s="869" t="s">
        <v>63</v>
      </c>
    </row>
    <row r="97" spans="1:32" ht="26.4" outlineLevel="1" x14ac:dyDescent="0.25">
      <c r="A97" s="371" t="s">
        <v>756</v>
      </c>
      <c r="B97" s="372" t="s">
        <v>54</v>
      </c>
      <c r="C97" s="1051" t="s">
        <v>757</v>
      </c>
      <c r="D97" s="35" t="s">
        <v>826</v>
      </c>
      <c r="E97" s="47" t="s">
        <v>13</v>
      </c>
      <c r="F97" s="35" t="s">
        <v>13</v>
      </c>
      <c r="G97" s="39">
        <v>522000</v>
      </c>
      <c r="H97" s="126">
        <v>0</v>
      </c>
      <c r="I97" s="976">
        <v>0</v>
      </c>
      <c r="J97" s="990">
        <v>0</v>
      </c>
      <c r="K97" s="378">
        <v>0</v>
      </c>
      <c r="L97" s="572">
        <f t="shared" si="12"/>
        <v>0</v>
      </c>
      <c r="M97" s="130">
        <v>350</v>
      </c>
      <c r="N97" s="547">
        <v>-350</v>
      </c>
      <c r="O97" s="547">
        <f t="shared" si="10"/>
        <v>0</v>
      </c>
      <c r="P97" s="130">
        <v>100000</v>
      </c>
      <c r="Q97" s="380">
        <v>422000</v>
      </c>
      <c r="R97" s="378">
        <v>0</v>
      </c>
      <c r="S97" s="741">
        <v>0</v>
      </c>
      <c r="T97" s="380">
        <v>0</v>
      </c>
      <c r="U97" s="378">
        <v>0</v>
      </c>
      <c r="V97" s="379">
        <v>0</v>
      </c>
      <c r="W97" s="379">
        <v>0</v>
      </c>
      <c r="X97" s="741">
        <v>0</v>
      </c>
      <c r="Y97" s="380">
        <v>0</v>
      </c>
      <c r="Z97" s="257" t="s">
        <v>1150</v>
      </c>
      <c r="AA97" s="35" t="s">
        <v>5</v>
      </c>
      <c r="AB97" s="108" t="s">
        <v>417</v>
      </c>
      <c r="AC97" s="712" t="s">
        <v>58</v>
      </c>
      <c r="AD97" s="109" t="s">
        <v>67</v>
      </c>
      <c r="AE97" s="869" t="s">
        <v>130</v>
      </c>
      <c r="AF97" s="869" t="s">
        <v>63</v>
      </c>
    </row>
    <row r="98" spans="1:32" ht="31.2" outlineLevel="1" x14ac:dyDescent="0.25">
      <c r="A98" s="608" t="s">
        <v>758</v>
      </c>
      <c r="B98" s="1353" t="s">
        <v>842</v>
      </c>
      <c r="C98" s="1375" t="s">
        <v>759</v>
      </c>
      <c r="D98" s="1355" t="s">
        <v>826</v>
      </c>
      <c r="E98" s="1359" t="s">
        <v>13</v>
      </c>
      <c r="F98" s="1355" t="s">
        <v>13</v>
      </c>
      <c r="G98" s="1367">
        <f>11920+5580</f>
        <v>17500</v>
      </c>
      <c r="H98" s="1161">
        <v>0</v>
      </c>
      <c r="I98" s="1162">
        <v>0</v>
      </c>
      <c r="J98" s="1163">
        <v>361.79</v>
      </c>
      <c r="K98" s="1164">
        <v>0</v>
      </c>
      <c r="L98" s="1165">
        <f t="shared" si="12"/>
        <v>361.79000000000087</v>
      </c>
      <c r="M98" s="1166">
        <v>11920</v>
      </c>
      <c r="N98" s="1031">
        <v>-11558.21</v>
      </c>
      <c r="O98" s="1527">
        <f t="shared" si="10"/>
        <v>361.79000000000087</v>
      </c>
      <c r="P98" s="1166">
        <f>17500-361.79</f>
        <v>17138.21</v>
      </c>
      <c r="Q98" s="1552">
        <v>0</v>
      </c>
      <c r="R98" s="1164">
        <v>0</v>
      </c>
      <c r="S98" s="1541">
        <v>0</v>
      </c>
      <c r="T98" s="1552">
        <v>0</v>
      </c>
      <c r="U98" s="1151">
        <v>0</v>
      </c>
      <c r="V98" s="1530">
        <v>0</v>
      </c>
      <c r="W98" s="1530">
        <v>0</v>
      </c>
      <c r="X98" s="1528">
        <v>0</v>
      </c>
      <c r="Y98" s="1529">
        <v>0</v>
      </c>
      <c r="Z98" s="1531" t="s">
        <v>1151</v>
      </c>
      <c r="AA98" s="1355" t="s">
        <v>7</v>
      </c>
      <c r="AB98" s="1533" t="s">
        <v>755</v>
      </c>
      <c r="AC98" s="1553" t="s">
        <v>58</v>
      </c>
      <c r="AD98" s="1532" t="s">
        <v>68</v>
      </c>
      <c r="AE98" s="1544" t="s">
        <v>129</v>
      </c>
      <c r="AF98" s="1544" t="s">
        <v>63</v>
      </c>
    </row>
    <row r="99" spans="1:32" ht="26.4" outlineLevel="1" x14ac:dyDescent="0.25">
      <c r="A99" s="345" t="s">
        <v>760</v>
      </c>
      <c r="B99" s="1376" t="s">
        <v>848</v>
      </c>
      <c r="C99" s="1377" t="s">
        <v>761</v>
      </c>
      <c r="D99" s="1378" t="s">
        <v>826</v>
      </c>
      <c r="E99" s="1379" t="s">
        <v>13</v>
      </c>
      <c r="F99" s="1378" t="s">
        <v>13</v>
      </c>
      <c r="G99" s="1380">
        <v>108.961</v>
      </c>
      <c r="H99" s="1178">
        <v>0</v>
      </c>
      <c r="I99" s="1179">
        <v>0</v>
      </c>
      <c r="J99" s="1180">
        <v>108.961</v>
      </c>
      <c r="K99" s="1181">
        <v>0</v>
      </c>
      <c r="L99" s="1182">
        <f t="shared" si="12"/>
        <v>108.961</v>
      </c>
      <c r="M99" s="1183">
        <v>0</v>
      </c>
      <c r="N99" s="344">
        <v>108.961</v>
      </c>
      <c r="O99" s="1554">
        <f t="shared" ref="O99:O122" si="13">M99+N99</f>
        <v>108.961</v>
      </c>
      <c r="P99" s="1183">
        <v>0</v>
      </c>
      <c r="Q99" s="1555">
        <v>0</v>
      </c>
      <c r="R99" s="1181">
        <v>0</v>
      </c>
      <c r="S99" s="1556">
        <f>11045-11045</f>
        <v>0</v>
      </c>
      <c r="T99" s="1555">
        <v>0</v>
      </c>
      <c r="U99" s="1557">
        <v>0</v>
      </c>
      <c r="V99" s="1558">
        <v>0</v>
      </c>
      <c r="W99" s="1558">
        <v>0</v>
      </c>
      <c r="X99" s="1559">
        <v>0</v>
      </c>
      <c r="Y99" s="1560">
        <v>0</v>
      </c>
      <c r="Z99" s="1561" t="s">
        <v>1152</v>
      </c>
      <c r="AA99" s="1378" t="s">
        <v>62</v>
      </c>
      <c r="AB99" s="1562" t="s">
        <v>583</v>
      </c>
      <c r="AC99" s="1563" t="s">
        <v>58</v>
      </c>
      <c r="AD99" s="1564" t="s">
        <v>68</v>
      </c>
      <c r="AE99" s="1565" t="s">
        <v>131</v>
      </c>
      <c r="AF99" s="1565" t="s">
        <v>63</v>
      </c>
    </row>
    <row r="100" spans="1:32" ht="31.2" outlineLevel="1" x14ac:dyDescent="0.25">
      <c r="A100" s="608" t="s">
        <v>762</v>
      </c>
      <c r="B100" s="1353" t="s">
        <v>850</v>
      </c>
      <c r="C100" s="1375" t="s">
        <v>763</v>
      </c>
      <c r="D100" s="1355" t="s">
        <v>826</v>
      </c>
      <c r="E100" s="1359" t="s">
        <v>13</v>
      </c>
      <c r="F100" s="1355" t="s">
        <v>13</v>
      </c>
      <c r="G100" s="1367">
        <f>5521+479</f>
        <v>6000</v>
      </c>
      <c r="H100" s="1161">
        <v>0</v>
      </c>
      <c r="I100" s="1162">
        <v>0</v>
      </c>
      <c r="J100" s="1163">
        <v>2789.5503600000002</v>
      </c>
      <c r="K100" s="1164">
        <v>0</v>
      </c>
      <c r="L100" s="1165">
        <f t="shared" si="12"/>
        <v>6000</v>
      </c>
      <c r="M100" s="1166">
        <v>5521</v>
      </c>
      <c r="N100" s="1031">
        <v>479</v>
      </c>
      <c r="O100" s="1527">
        <f t="shared" si="13"/>
        <v>6000</v>
      </c>
      <c r="P100" s="1166">
        <v>0</v>
      </c>
      <c r="Q100" s="1552">
        <v>0</v>
      </c>
      <c r="R100" s="1164">
        <v>0</v>
      </c>
      <c r="S100" s="1541">
        <v>0</v>
      </c>
      <c r="T100" s="1552">
        <v>0</v>
      </c>
      <c r="U100" s="1151">
        <v>0</v>
      </c>
      <c r="V100" s="1530">
        <v>0</v>
      </c>
      <c r="W100" s="1530">
        <v>0</v>
      </c>
      <c r="X100" s="1528">
        <v>0</v>
      </c>
      <c r="Y100" s="1529">
        <v>0</v>
      </c>
      <c r="Z100" s="1369" t="s">
        <v>1153</v>
      </c>
      <c r="AA100" s="1355" t="s">
        <v>111</v>
      </c>
      <c r="AB100" s="1533" t="s">
        <v>242</v>
      </c>
      <c r="AC100" s="1553" t="s">
        <v>59</v>
      </c>
      <c r="AD100" s="1532" t="s">
        <v>67</v>
      </c>
      <c r="AE100" s="1544" t="s">
        <v>119</v>
      </c>
      <c r="AF100" s="1544" t="s">
        <v>63</v>
      </c>
    </row>
    <row r="101" spans="1:32" ht="31.2" outlineLevel="1" x14ac:dyDescent="0.25">
      <c r="A101" s="371" t="s">
        <v>764</v>
      </c>
      <c r="B101" s="383" t="s">
        <v>54</v>
      </c>
      <c r="C101" s="1051" t="s">
        <v>765</v>
      </c>
      <c r="D101" s="35" t="s">
        <v>826</v>
      </c>
      <c r="E101" s="47" t="s">
        <v>13</v>
      </c>
      <c r="F101" s="35" t="s">
        <v>13</v>
      </c>
      <c r="G101" s="39">
        <v>32434</v>
      </c>
      <c r="H101" s="126">
        <v>0</v>
      </c>
      <c r="I101" s="976">
        <v>0</v>
      </c>
      <c r="J101" s="990">
        <v>0</v>
      </c>
      <c r="K101" s="378">
        <v>0</v>
      </c>
      <c r="L101" s="572">
        <f t="shared" si="12"/>
        <v>2900</v>
      </c>
      <c r="M101" s="130">
        <v>32434</v>
      </c>
      <c r="N101" s="547">
        <v>-29534</v>
      </c>
      <c r="O101" s="547">
        <f t="shared" si="13"/>
        <v>2900</v>
      </c>
      <c r="P101" s="130">
        <v>29534</v>
      </c>
      <c r="Q101" s="380">
        <v>0</v>
      </c>
      <c r="R101" s="378">
        <v>0</v>
      </c>
      <c r="S101" s="741">
        <v>0</v>
      </c>
      <c r="T101" s="380">
        <v>0</v>
      </c>
      <c r="U101" s="388">
        <v>0</v>
      </c>
      <c r="V101" s="389">
        <v>0</v>
      </c>
      <c r="W101" s="389">
        <v>0</v>
      </c>
      <c r="X101" s="743">
        <v>0</v>
      </c>
      <c r="Y101" s="390">
        <v>0</v>
      </c>
      <c r="Z101" s="257" t="s">
        <v>1110</v>
      </c>
      <c r="AA101" s="35" t="s">
        <v>9</v>
      </c>
      <c r="AB101" s="44" t="s">
        <v>242</v>
      </c>
      <c r="AC101" s="712" t="s">
        <v>59</v>
      </c>
      <c r="AD101" s="109" t="s">
        <v>67</v>
      </c>
      <c r="AE101" s="869" t="s">
        <v>171</v>
      </c>
      <c r="AF101" s="869" t="s">
        <v>63</v>
      </c>
    </row>
    <row r="102" spans="1:32" ht="31.2" outlineLevel="1" x14ac:dyDescent="0.25">
      <c r="A102" s="371" t="s">
        <v>766</v>
      </c>
      <c r="B102" s="383" t="s">
        <v>54</v>
      </c>
      <c r="C102" s="1051" t="s">
        <v>767</v>
      </c>
      <c r="D102" s="35" t="s">
        <v>826</v>
      </c>
      <c r="E102" s="47" t="s">
        <v>13</v>
      </c>
      <c r="F102" s="35" t="s">
        <v>13</v>
      </c>
      <c r="G102" s="39">
        <v>18180</v>
      </c>
      <c r="H102" s="126">
        <v>0</v>
      </c>
      <c r="I102" s="976">
        <v>0</v>
      </c>
      <c r="J102" s="990">
        <v>0</v>
      </c>
      <c r="K102" s="378">
        <v>0</v>
      </c>
      <c r="L102" s="572">
        <f t="shared" si="12"/>
        <v>0</v>
      </c>
      <c r="M102" s="130">
        <v>18180</v>
      </c>
      <c r="N102" s="547">
        <v>-18180</v>
      </c>
      <c r="O102" s="547">
        <f t="shared" si="13"/>
        <v>0</v>
      </c>
      <c r="P102" s="130">
        <v>18180</v>
      </c>
      <c r="Q102" s="380">
        <v>0</v>
      </c>
      <c r="R102" s="378">
        <v>0</v>
      </c>
      <c r="S102" s="741">
        <v>0</v>
      </c>
      <c r="T102" s="380">
        <v>0</v>
      </c>
      <c r="U102" s="388">
        <v>0</v>
      </c>
      <c r="V102" s="389">
        <v>0</v>
      </c>
      <c r="W102" s="389">
        <v>0</v>
      </c>
      <c r="X102" s="743">
        <v>0</v>
      </c>
      <c r="Y102" s="390">
        <v>0</v>
      </c>
      <c r="Z102" s="257" t="s">
        <v>1111</v>
      </c>
      <c r="AA102" s="35" t="s">
        <v>5</v>
      </c>
      <c r="AB102" s="44" t="s">
        <v>755</v>
      </c>
      <c r="AC102" s="712" t="s">
        <v>58</v>
      </c>
      <c r="AD102" s="109" t="s">
        <v>67</v>
      </c>
      <c r="AE102" s="869" t="s">
        <v>130</v>
      </c>
      <c r="AF102" s="869" t="s">
        <v>63</v>
      </c>
    </row>
    <row r="103" spans="1:32" ht="31.2" outlineLevel="1" x14ac:dyDescent="0.25">
      <c r="A103" s="371" t="s">
        <v>768</v>
      </c>
      <c r="B103" s="383" t="s">
        <v>54</v>
      </c>
      <c r="C103" s="1051" t="s">
        <v>769</v>
      </c>
      <c r="D103" s="35" t="s">
        <v>826</v>
      </c>
      <c r="E103" s="47" t="s">
        <v>13</v>
      </c>
      <c r="F103" s="35" t="s">
        <v>13</v>
      </c>
      <c r="G103" s="39">
        <v>11478</v>
      </c>
      <c r="H103" s="126">
        <v>0</v>
      </c>
      <c r="I103" s="976">
        <v>0</v>
      </c>
      <c r="J103" s="990">
        <v>0</v>
      </c>
      <c r="K103" s="378">
        <v>0</v>
      </c>
      <c r="L103" s="572">
        <f t="shared" si="12"/>
        <v>0</v>
      </c>
      <c r="M103" s="130">
        <v>11478</v>
      </c>
      <c r="N103" s="547">
        <v>-11478</v>
      </c>
      <c r="O103" s="547">
        <f t="shared" si="13"/>
        <v>0</v>
      </c>
      <c r="P103" s="130">
        <v>11478</v>
      </c>
      <c r="Q103" s="380">
        <v>0</v>
      </c>
      <c r="R103" s="378">
        <v>0</v>
      </c>
      <c r="S103" s="741">
        <v>0</v>
      </c>
      <c r="T103" s="380">
        <v>0</v>
      </c>
      <c r="U103" s="388">
        <v>0</v>
      </c>
      <c r="V103" s="389">
        <v>0</v>
      </c>
      <c r="W103" s="389">
        <v>0</v>
      </c>
      <c r="X103" s="743">
        <v>0</v>
      </c>
      <c r="Y103" s="390">
        <v>0</v>
      </c>
      <c r="Z103" s="257" t="s">
        <v>1112</v>
      </c>
      <c r="AA103" s="35" t="s">
        <v>5</v>
      </c>
      <c r="AB103" s="44" t="s">
        <v>755</v>
      </c>
      <c r="AC103" s="712" t="s">
        <v>58</v>
      </c>
      <c r="AD103" s="109" t="s">
        <v>67</v>
      </c>
      <c r="AE103" s="869" t="s">
        <v>128</v>
      </c>
      <c r="AF103" s="869" t="s">
        <v>63</v>
      </c>
    </row>
    <row r="104" spans="1:32" ht="31.2" outlineLevel="1" x14ac:dyDescent="0.25">
      <c r="A104" s="371" t="s">
        <v>770</v>
      </c>
      <c r="B104" s="383" t="s">
        <v>54</v>
      </c>
      <c r="C104" s="1051" t="s">
        <v>771</v>
      </c>
      <c r="D104" s="35" t="s">
        <v>826</v>
      </c>
      <c r="E104" s="47" t="s">
        <v>13</v>
      </c>
      <c r="F104" s="35" t="s">
        <v>13</v>
      </c>
      <c r="G104" s="39">
        <v>181560</v>
      </c>
      <c r="H104" s="126">
        <v>0</v>
      </c>
      <c r="I104" s="976">
        <v>0</v>
      </c>
      <c r="J104" s="990">
        <v>0</v>
      </c>
      <c r="K104" s="378">
        <v>0</v>
      </c>
      <c r="L104" s="572">
        <f t="shared" si="12"/>
        <v>0</v>
      </c>
      <c r="M104" s="130">
        <v>20000</v>
      </c>
      <c r="N104" s="547">
        <v>-20000</v>
      </c>
      <c r="O104" s="547">
        <f t="shared" si="13"/>
        <v>0</v>
      </c>
      <c r="P104" s="130">
        <v>81560</v>
      </c>
      <c r="Q104" s="380">
        <v>100000</v>
      </c>
      <c r="R104" s="378">
        <v>0</v>
      </c>
      <c r="S104" s="741">
        <v>0</v>
      </c>
      <c r="T104" s="380">
        <v>0</v>
      </c>
      <c r="U104" s="388">
        <v>0</v>
      </c>
      <c r="V104" s="389">
        <v>0</v>
      </c>
      <c r="W104" s="389">
        <v>0</v>
      </c>
      <c r="X104" s="743">
        <v>0</v>
      </c>
      <c r="Y104" s="390">
        <v>0</v>
      </c>
      <c r="Z104" s="257" t="s">
        <v>1113</v>
      </c>
      <c r="AA104" s="35" t="s">
        <v>5</v>
      </c>
      <c r="AB104" s="44" t="s">
        <v>755</v>
      </c>
      <c r="AC104" s="712" t="s">
        <v>58</v>
      </c>
      <c r="AD104" s="109" t="s">
        <v>67</v>
      </c>
      <c r="AE104" s="869" t="s">
        <v>120</v>
      </c>
      <c r="AF104" s="869" t="s">
        <v>63</v>
      </c>
    </row>
    <row r="105" spans="1:32" ht="26.4" outlineLevel="1" x14ac:dyDescent="0.25">
      <c r="A105" s="371" t="s">
        <v>772</v>
      </c>
      <c r="B105" s="383" t="s">
        <v>54</v>
      </c>
      <c r="C105" s="1051" t="s">
        <v>773</v>
      </c>
      <c r="D105" s="35" t="s">
        <v>826</v>
      </c>
      <c r="E105" s="47" t="s">
        <v>13</v>
      </c>
      <c r="F105" s="35" t="s">
        <v>13</v>
      </c>
      <c r="G105" s="39">
        <v>27020</v>
      </c>
      <c r="H105" s="126">
        <v>0</v>
      </c>
      <c r="I105" s="976">
        <v>0</v>
      </c>
      <c r="J105" s="990">
        <v>232.92500000000001</v>
      </c>
      <c r="K105" s="378">
        <v>0</v>
      </c>
      <c r="L105" s="572">
        <f t="shared" si="12"/>
        <v>233</v>
      </c>
      <c r="M105" s="130">
        <v>27020</v>
      </c>
      <c r="N105" s="547">
        <v>-26787</v>
      </c>
      <c r="O105" s="547">
        <f t="shared" si="13"/>
        <v>233</v>
      </c>
      <c r="P105" s="130">
        <f>27020-233</f>
        <v>26787</v>
      </c>
      <c r="Q105" s="380">
        <v>0</v>
      </c>
      <c r="R105" s="378">
        <v>0</v>
      </c>
      <c r="S105" s="741">
        <v>0</v>
      </c>
      <c r="T105" s="380">
        <v>0</v>
      </c>
      <c r="U105" s="388">
        <v>0</v>
      </c>
      <c r="V105" s="389">
        <v>0</v>
      </c>
      <c r="W105" s="389">
        <v>0</v>
      </c>
      <c r="X105" s="743">
        <v>0</v>
      </c>
      <c r="Y105" s="390">
        <v>0</v>
      </c>
      <c r="Z105" s="257" t="s">
        <v>1114</v>
      </c>
      <c r="AA105" s="35" t="s">
        <v>5</v>
      </c>
      <c r="AB105" s="44" t="s">
        <v>755</v>
      </c>
      <c r="AC105" s="712" t="s">
        <v>58</v>
      </c>
      <c r="AD105" s="109" t="s">
        <v>67</v>
      </c>
      <c r="AE105" s="869" t="s">
        <v>138</v>
      </c>
      <c r="AF105" s="869" t="s">
        <v>63</v>
      </c>
    </row>
    <row r="106" spans="1:32" ht="26.4" outlineLevel="1" x14ac:dyDescent="0.25">
      <c r="A106" s="608" t="s">
        <v>774</v>
      </c>
      <c r="B106" s="1353" t="s">
        <v>856</v>
      </c>
      <c r="C106" s="1375" t="s">
        <v>775</v>
      </c>
      <c r="D106" s="1355" t="s">
        <v>826</v>
      </c>
      <c r="E106" s="1359" t="s">
        <v>13</v>
      </c>
      <c r="F106" s="1355" t="s">
        <v>13</v>
      </c>
      <c r="G106" s="1367">
        <f>7275+2225</f>
        <v>9500</v>
      </c>
      <c r="H106" s="1161">
        <v>0</v>
      </c>
      <c r="I106" s="1162">
        <v>0</v>
      </c>
      <c r="J106" s="1163">
        <v>2354.6588899999997</v>
      </c>
      <c r="K106" s="1164">
        <v>0</v>
      </c>
      <c r="L106" s="1165">
        <f t="shared" si="12"/>
        <v>9500</v>
      </c>
      <c r="M106" s="1166">
        <v>7275</v>
      </c>
      <c r="N106" s="1031">
        <v>2225</v>
      </c>
      <c r="O106" s="1527">
        <f t="shared" si="13"/>
        <v>9500</v>
      </c>
      <c r="P106" s="1166">
        <v>0</v>
      </c>
      <c r="Q106" s="1552">
        <v>0</v>
      </c>
      <c r="R106" s="1164">
        <v>0</v>
      </c>
      <c r="S106" s="1541">
        <v>0</v>
      </c>
      <c r="T106" s="1552">
        <v>0</v>
      </c>
      <c r="U106" s="1151">
        <v>0</v>
      </c>
      <c r="V106" s="1530">
        <v>0</v>
      </c>
      <c r="W106" s="1530">
        <v>0</v>
      </c>
      <c r="X106" s="1528">
        <v>0</v>
      </c>
      <c r="Y106" s="1529">
        <v>0</v>
      </c>
      <c r="Z106" s="1369" t="s">
        <v>1006</v>
      </c>
      <c r="AA106" s="1355" t="s">
        <v>9</v>
      </c>
      <c r="AB106" s="1533" t="s">
        <v>242</v>
      </c>
      <c r="AC106" s="1553" t="s">
        <v>59</v>
      </c>
      <c r="AD106" s="1532" t="s">
        <v>67</v>
      </c>
      <c r="AE106" s="1544" t="s">
        <v>120</v>
      </c>
      <c r="AF106" s="1544" t="s">
        <v>63</v>
      </c>
    </row>
    <row r="107" spans="1:32" ht="26.4" outlineLevel="1" x14ac:dyDescent="0.25">
      <c r="A107" s="371" t="s">
        <v>776</v>
      </c>
      <c r="B107" s="383" t="s">
        <v>54</v>
      </c>
      <c r="C107" s="1051" t="s">
        <v>777</v>
      </c>
      <c r="D107" s="35" t="s">
        <v>826</v>
      </c>
      <c r="E107" s="47" t="s">
        <v>13</v>
      </c>
      <c r="F107" s="35" t="s">
        <v>13</v>
      </c>
      <c r="G107" s="39">
        <v>92140</v>
      </c>
      <c r="H107" s="126">
        <v>0</v>
      </c>
      <c r="I107" s="976">
        <v>0</v>
      </c>
      <c r="J107" s="990">
        <v>1501.61</v>
      </c>
      <c r="K107" s="378">
        <v>0</v>
      </c>
      <c r="L107" s="572">
        <f t="shared" si="12"/>
        <v>1501.6100000000006</v>
      </c>
      <c r="M107" s="130">
        <v>20000</v>
      </c>
      <c r="N107" s="547">
        <f>-20000+1501.61</f>
        <v>-18498.39</v>
      </c>
      <c r="O107" s="547">
        <f t="shared" si="13"/>
        <v>1501.6100000000006</v>
      </c>
      <c r="P107" s="130">
        <f>72140-1501.61</f>
        <v>70638.39</v>
      </c>
      <c r="Q107" s="380">
        <v>20000</v>
      </c>
      <c r="R107" s="378">
        <v>0</v>
      </c>
      <c r="S107" s="741">
        <v>0</v>
      </c>
      <c r="T107" s="380">
        <v>0</v>
      </c>
      <c r="U107" s="388">
        <v>0</v>
      </c>
      <c r="V107" s="389">
        <v>0</v>
      </c>
      <c r="W107" s="389">
        <v>0</v>
      </c>
      <c r="X107" s="743">
        <v>0</v>
      </c>
      <c r="Y107" s="390">
        <v>0</v>
      </c>
      <c r="Z107" s="257" t="s">
        <v>1115</v>
      </c>
      <c r="AA107" s="35" t="s">
        <v>5</v>
      </c>
      <c r="AB107" s="44" t="s">
        <v>582</v>
      </c>
      <c r="AC107" s="712" t="s">
        <v>58</v>
      </c>
      <c r="AD107" s="109" t="s">
        <v>67</v>
      </c>
      <c r="AE107" s="869" t="s">
        <v>134</v>
      </c>
      <c r="AF107" s="869" t="s">
        <v>63</v>
      </c>
    </row>
    <row r="108" spans="1:32" ht="26.4" outlineLevel="1" x14ac:dyDescent="0.25">
      <c r="A108" s="371" t="s">
        <v>778</v>
      </c>
      <c r="B108" s="383" t="s">
        <v>54</v>
      </c>
      <c r="C108" s="1051" t="s">
        <v>779</v>
      </c>
      <c r="D108" s="35" t="s">
        <v>826</v>
      </c>
      <c r="E108" s="47" t="s">
        <v>13</v>
      </c>
      <c r="F108" s="35" t="s">
        <v>13</v>
      </c>
      <c r="G108" s="39">
        <v>6970</v>
      </c>
      <c r="H108" s="126">
        <v>0</v>
      </c>
      <c r="I108" s="976">
        <v>0</v>
      </c>
      <c r="J108" s="990">
        <v>0</v>
      </c>
      <c r="K108" s="378">
        <v>0</v>
      </c>
      <c r="L108" s="572">
        <f t="shared" si="12"/>
        <v>0</v>
      </c>
      <c r="M108" s="130">
        <v>6970</v>
      </c>
      <c r="N108" s="547">
        <v>-6970</v>
      </c>
      <c r="O108" s="547">
        <f t="shared" si="13"/>
        <v>0</v>
      </c>
      <c r="P108" s="130">
        <v>6970</v>
      </c>
      <c r="Q108" s="380">
        <v>0</v>
      </c>
      <c r="R108" s="378">
        <v>0</v>
      </c>
      <c r="S108" s="741">
        <v>0</v>
      </c>
      <c r="T108" s="380">
        <v>0</v>
      </c>
      <c r="U108" s="388">
        <v>0</v>
      </c>
      <c r="V108" s="389">
        <v>0</v>
      </c>
      <c r="W108" s="389">
        <v>0</v>
      </c>
      <c r="X108" s="743">
        <v>0</v>
      </c>
      <c r="Y108" s="390">
        <v>0</v>
      </c>
      <c r="Z108" s="257" t="s">
        <v>1116</v>
      </c>
      <c r="AA108" s="35" t="s">
        <v>5</v>
      </c>
      <c r="AB108" s="44" t="s">
        <v>755</v>
      </c>
      <c r="AC108" s="712" t="s">
        <v>58</v>
      </c>
      <c r="AD108" s="109" t="s">
        <v>67</v>
      </c>
      <c r="AE108" s="869" t="s">
        <v>133</v>
      </c>
      <c r="AF108" s="869" t="s">
        <v>63</v>
      </c>
    </row>
    <row r="109" spans="1:32" ht="26.4" outlineLevel="1" x14ac:dyDescent="0.25">
      <c r="A109" s="371" t="s">
        <v>780</v>
      </c>
      <c r="B109" s="383" t="s">
        <v>54</v>
      </c>
      <c r="C109" s="1051" t="s">
        <v>781</v>
      </c>
      <c r="D109" s="35" t="s">
        <v>826</v>
      </c>
      <c r="E109" s="47" t="s">
        <v>13</v>
      </c>
      <c r="F109" s="35" t="s">
        <v>13</v>
      </c>
      <c r="G109" s="39">
        <v>2000</v>
      </c>
      <c r="H109" s="126">
        <v>0</v>
      </c>
      <c r="I109" s="976">
        <v>0</v>
      </c>
      <c r="J109" s="990">
        <v>296.45</v>
      </c>
      <c r="K109" s="378">
        <v>0</v>
      </c>
      <c r="L109" s="572">
        <f t="shared" ref="L109:L115" si="14">O109-K109</f>
        <v>297</v>
      </c>
      <c r="M109" s="130">
        <v>2000</v>
      </c>
      <c r="N109" s="547">
        <v>-1703</v>
      </c>
      <c r="O109" s="547">
        <f t="shared" si="13"/>
        <v>297</v>
      </c>
      <c r="P109" s="130">
        <v>1703</v>
      </c>
      <c r="Q109" s="380">
        <v>0</v>
      </c>
      <c r="R109" s="378">
        <v>0</v>
      </c>
      <c r="S109" s="741">
        <v>0</v>
      </c>
      <c r="T109" s="380">
        <v>0</v>
      </c>
      <c r="U109" s="388">
        <v>0</v>
      </c>
      <c r="V109" s="389">
        <v>0</v>
      </c>
      <c r="W109" s="389">
        <v>0</v>
      </c>
      <c r="X109" s="743">
        <v>0</v>
      </c>
      <c r="Y109" s="390">
        <v>0</v>
      </c>
      <c r="Z109" s="257" t="s">
        <v>1117</v>
      </c>
      <c r="AA109" s="35" t="s">
        <v>9</v>
      </c>
      <c r="AB109" s="44" t="s">
        <v>755</v>
      </c>
      <c r="AC109" s="712" t="s">
        <v>59</v>
      </c>
      <c r="AD109" s="109" t="s">
        <v>67</v>
      </c>
      <c r="AE109" s="869" t="s">
        <v>122</v>
      </c>
      <c r="AF109" s="869" t="s">
        <v>63</v>
      </c>
    </row>
    <row r="110" spans="1:32" ht="26.4" outlineLevel="1" x14ac:dyDescent="0.25">
      <c r="A110" s="371" t="s">
        <v>797</v>
      </c>
      <c r="B110" s="383" t="s">
        <v>54</v>
      </c>
      <c r="C110" s="1051" t="s">
        <v>798</v>
      </c>
      <c r="D110" s="35" t="s">
        <v>826</v>
      </c>
      <c r="E110" s="47" t="s">
        <v>13</v>
      </c>
      <c r="F110" s="35" t="s">
        <v>13</v>
      </c>
      <c r="G110" s="39">
        <v>16281</v>
      </c>
      <c r="H110" s="126">
        <v>0</v>
      </c>
      <c r="I110" s="976">
        <v>0</v>
      </c>
      <c r="J110" s="990">
        <v>0</v>
      </c>
      <c r="K110" s="378">
        <v>0</v>
      </c>
      <c r="L110" s="572">
        <f t="shared" si="14"/>
        <v>0</v>
      </c>
      <c r="M110" s="130">
        <v>16281</v>
      </c>
      <c r="N110" s="547">
        <v>-16281</v>
      </c>
      <c r="O110" s="547">
        <f t="shared" si="13"/>
        <v>0</v>
      </c>
      <c r="P110" s="130">
        <v>16281</v>
      </c>
      <c r="Q110" s="380">
        <v>0</v>
      </c>
      <c r="R110" s="378">
        <v>0</v>
      </c>
      <c r="S110" s="741">
        <v>0</v>
      </c>
      <c r="T110" s="380">
        <v>0</v>
      </c>
      <c r="U110" s="388">
        <v>0</v>
      </c>
      <c r="V110" s="389">
        <v>0</v>
      </c>
      <c r="W110" s="389">
        <v>0</v>
      </c>
      <c r="X110" s="743">
        <v>0</v>
      </c>
      <c r="Y110" s="390">
        <v>0</v>
      </c>
      <c r="Z110" s="257" t="s">
        <v>1118</v>
      </c>
      <c r="AA110" s="35" t="s">
        <v>5</v>
      </c>
      <c r="AB110" s="44" t="s">
        <v>755</v>
      </c>
      <c r="AC110" s="712" t="s">
        <v>58</v>
      </c>
      <c r="AD110" s="109" t="s">
        <v>67</v>
      </c>
      <c r="AE110" s="869" t="s">
        <v>120</v>
      </c>
      <c r="AF110" s="869" t="s">
        <v>63</v>
      </c>
    </row>
    <row r="111" spans="1:32" ht="26.4" outlineLevel="1" x14ac:dyDescent="0.25">
      <c r="A111" s="371" t="s">
        <v>799</v>
      </c>
      <c r="B111" s="383" t="s">
        <v>54</v>
      </c>
      <c r="C111" s="1051" t="s">
        <v>800</v>
      </c>
      <c r="D111" s="35" t="s">
        <v>826</v>
      </c>
      <c r="E111" s="47" t="s">
        <v>13</v>
      </c>
      <c r="F111" s="35" t="s">
        <v>13</v>
      </c>
      <c r="G111" s="39">
        <v>475102</v>
      </c>
      <c r="H111" s="126">
        <v>0</v>
      </c>
      <c r="I111" s="976">
        <v>0</v>
      </c>
      <c r="J111" s="990">
        <v>0</v>
      </c>
      <c r="K111" s="378">
        <v>0</v>
      </c>
      <c r="L111" s="572">
        <f t="shared" si="14"/>
        <v>0</v>
      </c>
      <c r="M111" s="130">
        <v>30000</v>
      </c>
      <c r="N111" s="547">
        <v>-30000</v>
      </c>
      <c r="O111" s="547">
        <f t="shared" si="13"/>
        <v>0</v>
      </c>
      <c r="P111" s="130">
        <v>120000</v>
      </c>
      <c r="Q111" s="380">
        <v>355102</v>
      </c>
      <c r="R111" s="378">
        <v>0</v>
      </c>
      <c r="S111" s="741">
        <v>0</v>
      </c>
      <c r="T111" s="380">
        <v>0</v>
      </c>
      <c r="U111" s="388">
        <v>0</v>
      </c>
      <c r="V111" s="389">
        <v>0</v>
      </c>
      <c r="W111" s="389">
        <v>0</v>
      </c>
      <c r="X111" s="743">
        <v>0</v>
      </c>
      <c r="Y111" s="390">
        <v>0</v>
      </c>
      <c r="Z111" s="257" t="s">
        <v>1154</v>
      </c>
      <c r="AA111" s="35" t="s">
        <v>5</v>
      </c>
      <c r="AB111" s="381" t="s">
        <v>673</v>
      </c>
      <c r="AC111" s="712" t="s">
        <v>58</v>
      </c>
      <c r="AD111" s="109" t="s">
        <v>67</v>
      </c>
      <c r="AE111" s="869" t="s">
        <v>120</v>
      </c>
      <c r="AF111" s="869"/>
    </row>
    <row r="112" spans="1:32" ht="26.4" outlineLevel="1" x14ac:dyDescent="0.25">
      <c r="A112" s="371" t="s">
        <v>801</v>
      </c>
      <c r="B112" s="383" t="s">
        <v>54</v>
      </c>
      <c r="C112" s="1051" t="s">
        <v>802</v>
      </c>
      <c r="D112" s="35" t="s">
        <v>826</v>
      </c>
      <c r="E112" s="47" t="s">
        <v>13</v>
      </c>
      <c r="F112" s="35" t="s">
        <v>13</v>
      </c>
      <c r="G112" s="39">
        <v>136181</v>
      </c>
      <c r="H112" s="126">
        <v>0</v>
      </c>
      <c r="I112" s="976">
        <v>0</v>
      </c>
      <c r="J112" s="990">
        <v>0</v>
      </c>
      <c r="K112" s="378">
        <v>0</v>
      </c>
      <c r="L112" s="572">
        <f t="shared" si="14"/>
        <v>0</v>
      </c>
      <c r="M112" s="130">
        <v>70000</v>
      </c>
      <c r="N112" s="547">
        <v>-70000</v>
      </c>
      <c r="O112" s="547">
        <f t="shared" si="13"/>
        <v>0</v>
      </c>
      <c r="P112" s="130">
        <v>66181</v>
      </c>
      <c r="Q112" s="380">
        <v>70000</v>
      </c>
      <c r="R112" s="378">
        <v>0</v>
      </c>
      <c r="S112" s="741">
        <v>0</v>
      </c>
      <c r="T112" s="380">
        <v>0</v>
      </c>
      <c r="U112" s="388">
        <v>0</v>
      </c>
      <c r="V112" s="389">
        <v>0</v>
      </c>
      <c r="W112" s="389">
        <v>0</v>
      </c>
      <c r="X112" s="743">
        <v>0</v>
      </c>
      <c r="Y112" s="390">
        <v>0</v>
      </c>
      <c r="Z112" s="257" t="s">
        <v>1119</v>
      </c>
      <c r="AA112" s="35" t="s">
        <v>5</v>
      </c>
      <c r="AB112" s="44" t="s">
        <v>719</v>
      </c>
      <c r="AC112" s="712" t="s">
        <v>58</v>
      </c>
      <c r="AD112" s="109" t="s">
        <v>67</v>
      </c>
      <c r="AE112" s="869" t="s">
        <v>120</v>
      </c>
      <c r="AF112" s="869"/>
    </row>
    <row r="113" spans="1:32" ht="26.4" outlineLevel="1" x14ac:dyDescent="0.25">
      <c r="A113" s="371" t="s">
        <v>803</v>
      </c>
      <c r="B113" s="383" t="s">
        <v>852</v>
      </c>
      <c r="C113" s="1051" t="s">
        <v>804</v>
      </c>
      <c r="D113" s="35" t="s">
        <v>826</v>
      </c>
      <c r="E113" s="47" t="s">
        <v>13</v>
      </c>
      <c r="F113" s="35" t="s">
        <v>13</v>
      </c>
      <c r="G113" s="39">
        <v>147261</v>
      </c>
      <c r="H113" s="126">
        <v>0</v>
      </c>
      <c r="I113" s="976">
        <v>0</v>
      </c>
      <c r="J113" s="990">
        <v>16697.365030000001</v>
      </c>
      <c r="K113" s="378">
        <v>0</v>
      </c>
      <c r="L113" s="572">
        <f t="shared" si="14"/>
        <v>60000</v>
      </c>
      <c r="M113" s="130">
        <v>70000</v>
      </c>
      <c r="N113" s="547">
        <v>-10000</v>
      </c>
      <c r="O113" s="547">
        <f t="shared" si="13"/>
        <v>60000</v>
      </c>
      <c r="P113" s="130">
        <v>87261</v>
      </c>
      <c r="Q113" s="380">
        <v>0</v>
      </c>
      <c r="R113" s="378">
        <v>0</v>
      </c>
      <c r="S113" s="741">
        <v>0</v>
      </c>
      <c r="T113" s="380">
        <v>0</v>
      </c>
      <c r="U113" s="388">
        <v>0</v>
      </c>
      <c r="V113" s="389">
        <v>0</v>
      </c>
      <c r="W113" s="389">
        <v>0</v>
      </c>
      <c r="X113" s="743">
        <v>0</v>
      </c>
      <c r="Y113" s="390">
        <v>0</v>
      </c>
      <c r="Z113" s="257" t="s">
        <v>1075</v>
      </c>
      <c r="AA113" s="35" t="s">
        <v>9</v>
      </c>
      <c r="AB113" s="44" t="s">
        <v>719</v>
      </c>
      <c r="AC113" s="712" t="s">
        <v>59</v>
      </c>
      <c r="AD113" s="109" t="s">
        <v>67</v>
      </c>
      <c r="AE113" s="869" t="s">
        <v>124</v>
      </c>
      <c r="AF113" s="869"/>
    </row>
    <row r="114" spans="1:32" ht="31.8" outlineLevel="1" thickBot="1" x14ac:dyDescent="0.3">
      <c r="A114" s="477" t="s">
        <v>805</v>
      </c>
      <c r="B114" s="793" t="s">
        <v>54</v>
      </c>
      <c r="C114" s="1062" t="s">
        <v>806</v>
      </c>
      <c r="D114" s="51" t="s">
        <v>826</v>
      </c>
      <c r="E114" s="64" t="s">
        <v>13</v>
      </c>
      <c r="F114" s="51" t="s">
        <v>13</v>
      </c>
      <c r="G114" s="52">
        <v>29287</v>
      </c>
      <c r="H114" s="128">
        <v>0</v>
      </c>
      <c r="I114" s="984">
        <v>0</v>
      </c>
      <c r="J114" s="985">
        <v>0</v>
      </c>
      <c r="K114" s="595">
        <v>0</v>
      </c>
      <c r="L114" s="594">
        <f t="shared" si="14"/>
        <v>0</v>
      </c>
      <c r="M114" s="597">
        <v>14287</v>
      </c>
      <c r="N114" s="106">
        <v>-14287</v>
      </c>
      <c r="O114" s="106">
        <f t="shared" si="13"/>
        <v>0</v>
      </c>
      <c r="P114" s="597">
        <v>29287</v>
      </c>
      <c r="Q114" s="596">
        <v>0</v>
      </c>
      <c r="R114" s="595">
        <v>0</v>
      </c>
      <c r="S114" s="742">
        <v>0</v>
      </c>
      <c r="T114" s="596">
        <v>0</v>
      </c>
      <c r="U114" s="595">
        <v>0</v>
      </c>
      <c r="V114" s="593">
        <v>0</v>
      </c>
      <c r="W114" s="593">
        <v>0</v>
      </c>
      <c r="X114" s="742">
        <v>0</v>
      </c>
      <c r="Y114" s="596">
        <v>0</v>
      </c>
      <c r="Z114" s="185" t="s">
        <v>1120</v>
      </c>
      <c r="AA114" s="51" t="s">
        <v>5</v>
      </c>
      <c r="AB114" s="107" t="s">
        <v>573</v>
      </c>
      <c r="AC114" s="351" t="s">
        <v>58</v>
      </c>
      <c r="AD114" s="107" t="s">
        <v>67</v>
      </c>
      <c r="AE114" s="905" t="s">
        <v>171</v>
      </c>
      <c r="AF114" s="905"/>
    </row>
    <row r="115" spans="1:32" ht="26.4" outlineLevel="1" x14ac:dyDescent="0.25">
      <c r="A115" s="371" t="s">
        <v>840</v>
      </c>
      <c r="B115" s="372" t="s">
        <v>54</v>
      </c>
      <c r="C115" s="1051" t="s">
        <v>838</v>
      </c>
      <c r="D115" s="35" t="s">
        <v>866</v>
      </c>
      <c r="E115" s="47" t="s">
        <v>13</v>
      </c>
      <c r="F115" s="35" t="s">
        <v>13</v>
      </c>
      <c r="G115" s="39">
        <v>20000</v>
      </c>
      <c r="H115" s="126">
        <v>0</v>
      </c>
      <c r="I115" s="976">
        <v>0</v>
      </c>
      <c r="J115" s="990">
        <v>0</v>
      </c>
      <c r="K115" s="378">
        <v>0</v>
      </c>
      <c r="L115" s="572">
        <f t="shared" si="14"/>
        <v>312</v>
      </c>
      <c r="M115" s="130">
        <v>0</v>
      </c>
      <c r="N115" s="547">
        <v>312</v>
      </c>
      <c r="O115" s="547">
        <f t="shared" si="13"/>
        <v>312</v>
      </c>
      <c r="P115" s="130">
        <f>20000-312</f>
        <v>19688</v>
      </c>
      <c r="Q115" s="380">
        <v>0</v>
      </c>
      <c r="R115" s="378">
        <v>0</v>
      </c>
      <c r="S115" s="741">
        <v>0</v>
      </c>
      <c r="T115" s="380">
        <v>0</v>
      </c>
      <c r="U115" s="388">
        <v>0</v>
      </c>
      <c r="V115" s="389">
        <v>0</v>
      </c>
      <c r="W115" s="389">
        <v>0</v>
      </c>
      <c r="X115" s="743">
        <v>0</v>
      </c>
      <c r="Y115" s="390">
        <v>0</v>
      </c>
      <c r="Z115" s="257" t="s">
        <v>1121</v>
      </c>
      <c r="AA115" s="35" t="s">
        <v>9</v>
      </c>
      <c r="AB115" s="381" t="s">
        <v>286</v>
      </c>
      <c r="AC115" s="712" t="s">
        <v>59</v>
      </c>
      <c r="AD115" s="109" t="s">
        <v>67</v>
      </c>
      <c r="AE115" s="869" t="s">
        <v>123</v>
      </c>
      <c r="AF115" s="869"/>
    </row>
    <row r="116" spans="1:32" ht="31.8" outlineLevel="1" thickBot="1" x14ac:dyDescent="0.3">
      <c r="A116" s="337" t="s">
        <v>841</v>
      </c>
      <c r="B116" s="1063" t="s">
        <v>54</v>
      </c>
      <c r="C116" s="365" t="s">
        <v>839</v>
      </c>
      <c r="D116" s="278" t="s">
        <v>866</v>
      </c>
      <c r="E116" s="299" t="s">
        <v>13</v>
      </c>
      <c r="F116" s="278" t="s">
        <v>13</v>
      </c>
      <c r="G116" s="233">
        <v>0</v>
      </c>
      <c r="H116" s="340">
        <v>0</v>
      </c>
      <c r="I116" s="341">
        <v>0</v>
      </c>
      <c r="J116" s="342">
        <v>0</v>
      </c>
      <c r="K116" s="300">
        <v>0</v>
      </c>
      <c r="L116" s="366">
        <f t="shared" ref="L116:L124" si="15">O116-K116</f>
        <v>0</v>
      </c>
      <c r="M116" s="234">
        <v>91000</v>
      </c>
      <c r="N116" s="235">
        <v>-91000</v>
      </c>
      <c r="O116" s="235">
        <f t="shared" si="13"/>
        <v>0</v>
      </c>
      <c r="P116" s="234">
        <v>0</v>
      </c>
      <c r="Q116" s="303">
        <v>0</v>
      </c>
      <c r="R116" s="300">
        <v>0</v>
      </c>
      <c r="S116" s="301">
        <v>0</v>
      </c>
      <c r="T116" s="303">
        <v>0</v>
      </c>
      <c r="U116" s="236">
        <v>0</v>
      </c>
      <c r="V116" s="293">
        <v>0</v>
      </c>
      <c r="W116" s="293">
        <v>0</v>
      </c>
      <c r="X116" s="237">
        <v>0</v>
      </c>
      <c r="Y116" s="292">
        <v>0</v>
      </c>
      <c r="Z116" s="297" t="s">
        <v>1155</v>
      </c>
      <c r="AA116" s="278" t="s">
        <v>60</v>
      </c>
      <c r="AB116" s="304" t="s">
        <v>330</v>
      </c>
      <c r="AC116" s="367" t="s">
        <v>59</v>
      </c>
      <c r="AD116" s="279" t="s">
        <v>66</v>
      </c>
      <c r="AE116" s="308" t="s">
        <v>133</v>
      </c>
      <c r="AF116" s="308"/>
    </row>
    <row r="117" spans="1:32" outlineLevel="1" x14ac:dyDescent="0.25">
      <c r="A117" s="644" t="s">
        <v>1007</v>
      </c>
      <c r="B117" s="781" t="s">
        <v>54</v>
      </c>
      <c r="C117" s="782" t="s">
        <v>1008</v>
      </c>
      <c r="D117" s="29" t="s">
        <v>54</v>
      </c>
      <c r="E117" s="21" t="s">
        <v>13</v>
      </c>
      <c r="F117" s="29" t="s">
        <v>13</v>
      </c>
      <c r="G117" s="30">
        <v>22303</v>
      </c>
      <c r="H117" s="124">
        <v>0</v>
      </c>
      <c r="I117" s="897">
        <v>0</v>
      </c>
      <c r="J117" s="898">
        <v>0</v>
      </c>
      <c r="K117" s="783">
        <v>0</v>
      </c>
      <c r="L117" s="965">
        <f t="shared" si="15"/>
        <v>22303</v>
      </c>
      <c r="M117" s="648">
        <v>0</v>
      </c>
      <c r="N117" s="649">
        <v>22303</v>
      </c>
      <c r="O117" s="966">
        <f t="shared" si="13"/>
        <v>22303</v>
      </c>
      <c r="P117" s="967">
        <v>0</v>
      </c>
      <c r="Q117" s="967">
        <v>0</v>
      </c>
      <c r="R117" s="783">
        <v>0</v>
      </c>
      <c r="S117" s="788">
        <v>0</v>
      </c>
      <c r="T117" s="788">
        <v>0</v>
      </c>
      <c r="U117" s="1064">
        <v>0</v>
      </c>
      <c r="V117" s="1065">
        <v>0</v>
      </c>
      <c r="W117" s="1775">
        <v>0</v>
      </c>
      <c r="X117" s="1775">
        <v>0</v>
      </c>
      <c r="Y117" s="784">
        <v>0</v>
      </c>
      <c r="Z117" s="254" t="s">
        <v>52</v>
      </c>
      <c r="AA117" s="29" t="s">
        <v>9</v>
      </c>
      <c r="AB117" s="195" t="s">
        <v>242</v>
      </c>
      <c r="AC117" s="202" t="s">
        <v>59</v>
      </c>
      <c r="AD117" s="104" t="s">
        <v>67</v>
      </c>
      <c r="AE117" s="899" t="s">
        <v>123</v>
      </c>
      <c r="AF117" s="899"/>
    </row>
    <row r="118" spans="1:32" ht="31.2" outlineLevel="1" x14ac:dyDescent="0.25">
      <c r="A118" s="644" t="s">
        <v>1009</v>
      </c>
      <c r="B118" s="781" t="s">
        <v>54</v>
      </c>
      <c r="C118" s="782" t="s">
        <v>1010</v>
      </c>
      <c r="D118" s="29" t="s">
        <v>54</v>
      </c>
      <c r="E118" s="21" t="s">
        <v>13</v>
      </c>
      <c r="F118" s="29" t="s">
        <v>13</v>
      </c>
      <c r="G118" s="30">
        <v>20000</v>
      </c>
      <c r="H118" s="124">
        <v>0</v>
      </c>
      <c r="I118" s="897">
        <v>0</v>
      </c>
      <c r="J118" s="898">
        <v>0</v>
      </c>
      <c r="K118" s="783">
        <v>0</v>
      </c>
      <c r="L118" s="968">
        <f t="shared" si="15"/>
        <v>0</v>
      </c>
      <c r="M118" s="648">
        <v>0</v>
      </c>
      <c r="N118" s="649">
        <v>0</v>
      </c>
      <c r="O118" s="658">
        <f t="shared" si="13"/>
        <v>0</v>
      </c>
      <c r="P118" s="648">
        <v>20000</v>
      </c>
      <c r="Q118" s="648">
        <v>0</v>
      </c>
      <c r="R118" s="783">
        <v>0</v>
      </c>
      <c r="S118" s="786">
        <v>0</v>
      </c>
      <c r="T118" s="786">
        <v>0</v>
      </c>
      <c r="U118" s="785">
        <v>0</v>
      </c>
      <c r="V118" s="786">
        <v>0</v>
      </c>
      <c r="W118" s="786">
        <v>0</v>
      </c>
      <c r="X118" s="1068">
        <v>0</v>
      </c>
      <c r="Y118" s="787">
        <v>0</v>
      </c>
      <c r="Z118" s="254" t="s">
        <v>52</v>
      </c>
      <c r="AA118" s="29" t="s">
        <v>5</v>
      </c>
      <c r="AB118" s="195" t="s">
        <v>285</v>
      </c>
      <c r="AC118" s="202" t="s">
        <v>58</v>
      </c>
      <c r="AD118" s="104" t="s">
        <v>68</v>
      </c>
      <c r="AE118" s="899" t="s">
        <v>132</v>
      </c>
      <c r="AF118" s="885"/>
    </row>
    <row r="119" spans="1:32" outlineLevel="1" x14ac:dyDescent="0.25">
      <c r="A119" s="644" t="s">
        <v>1011</v>
      </c>
      <c r="B119" s="781" t="s">
        <v>54</v>
      </c>
      <c r="C119" s="782" t="s">
        <v>1012</v>
      </c>
      <c r="D119" s="29" t="s">
        <v>54</v>
      </c>
      <c r="E119" s="21" t="s">
        <v>13</v>
      </c>
      <c r="F119" s="29" t="s">
        <v>13</v>
      </c>
      <c r="G119" s="30">
        <v>60000</v>
      </c>
      <c r="H119" s="124">
        <v>0</v>
      </c>
      <c r="I119" s="897">
        <v>0</v>
      </c>
      <c r="J119" s="898">
        <v>0</v>
      </c>
      <c r="K119" s="783">
        <v>0</v>
      </c>
      <c r="L119" s="968">
        <f t="shared" si="15"/>
        <v>0</v>
      </c>
      <c r="M119" s="648">
        <v>0</v>
      </c>
      <c r="N119" s="649">
        <v>0</v>
      </c>
      <c r="O119" s="658">
        <f t="shared" si="13"/>
        <v>0</v>
      </c>
      <c r="P119" s="648">
        <v>30000</v>
      </c>
      <c r="Q119" s="648">
        <v>30000</v>
      </c>
      <c r="R119" s="783">
        <v>0</v>
      </c>
      <c r="S119" s="786">
        <v>0</v>
      </c>
      <c r="T119" s="786">
        <v>0</v>
      </c>
      <c r="U119" s="785">
        <v>0</v>
      </c>
      <c r="V119" s="786">
        <v>0</v>
      </c>
      <c r="W119" s="786">
        <v>0</v>
      </c>
      <c r="X119" s="1068">
        <v>0</v>
      </c>
      <c r="Y119" s="787">
        <v>0</v>
      </c>
      <c r="Z119" s="254" t="s">
        <v>52</v>
      </c>
      <c r="AA119" s="29" t="s">
        <v>7</v>
      </c>
      <c r="AB119" s="195" t="s">
        <v>964</v>
      </c>
      <c r="AC119" s="202" t="s">
        <v>58</v>
      </c>
      <c r="AD119" s="104" t="s">
        <v>66</v>
      </c>
      <c r="AE119" s="899" t="s">
        <v>126</v>
      </c>
      <c r="AF119" s="885"/>
    </row>
    <row r="120" spans="1:32" ht="31.2" outlineLevel="1" x14ac:dyDescent="0.25">
      <c r="A120" s="644" t="s">
        <v>1122</v>
      </c>
      <c r="B120" s="781" t="s">
        <v>54</v>
      </c>
      <c r="C120" s="782" t="s">
        <v>1123</v>
      </c>
      <c r="D120" s="29" t="s">
        <v>54</v>
      </c>
      <c r="E120" s="21" t="s">
        <v>13</v>
      </c>
      <c r="F120" s="29" t="s">
        <v>13</v>
      </c>
      <c r="G120" s="30">
        <v>22500</v>
      </c>
      <c r="H120" s="124">
        <v>0</v>
      </c>
      <c r="I120" s="897">
        <v>0</v>
      </c>
      <c r="J120" s="898">
        <v>0</v>
      </c>
      <c r="K120" s="783">
        <v>0</v>
      </c>
      <c r="L120" s="968">
        <f t="shared" si="15"/>
        <v>22500</v>
      </c>
      <c r="M120" s="648">
        <v>0</v>
      </c>
      <c r="N120" s="30">
        <v>22500</v>
      </c>
      <c r="O120" s="658">
        <f t="shared" si="13"/>
        <v>22500</v>
      </c>
      <c r="P120" s="648">
        <v>0</v>
      </c>
      <c r="Q120" s="648">
        <v>0</v>
      </c>
      <c r="R120" s="783">
        <v>0</v>
      </c>
      <c r="S120" s="786">
        <v>0</v>
      </c>
      <c r="T120" s="786">
        <v>0</v>
      </c>
      <c r="U120" s="785">
        <v>0</v>
      </c>
      <c r="V120" s="786">
        <v>0</v>
      </c>
      <c r="W120" s="786">
        <v>0</v>
      </c>
      <c r="X120" s="1068">
        <v>0</v>
      </c>
      <c r="Y120" s="787">
        <v>0</v>
      </c>
      <c r="Z120" s="254" t="s">
        <v>52</v>
      </c>
      <c r="AA120" s="29" t="s">
        <v>9</v>
      </c>
      <c r="AB120" s="195" t="s">
        <v>964</v>
      </c>
      <c r="AC120" s="202" t="s">
        <v>59</v>
      </c>
      <c r="AD120" s="104" t="s">
        <v>67</v>
      </c>
      <c r="AE120" s="899" t="s">
        <v>132</v>
      </c>
      <c r="AF120" s="885"/>
    </row>
    <row r="121" spans="1:32" outlineLevel="1" x14ac:dyDescent="0.25">
      <c r="A121" s="644" t="s">
        <v>1124</v>
      </c>
      <c r="B121" s="781" t="s">
        <v>54</v>
      </c>
      <c r="C121" s="782" t="s">
        <v>1125</v>
      </c>
      <c r="D121" s="29" t="s">
        <v>54</v>
      </c>
      <c r="E121" s="21" t="s">
        <v>13</v>
      </c>
      <c r="F121" s="29" t="s">
        <v>13</v>
      </c>
      <c r="G121" s="30">
        <v>10000</v>
      </c>
      <c r="H121" s="124">
        <v>0</v>
      </c>
      <c r="I121" s="897">
        <v>0</v>
      </c>
      <c r="J121" s="898">
        <v>0</v>
      </c>
      <c r="K121" s="783">
        <v>0</v>
      </c>
      <c r="L121" s="968">
        <f t="shared" si="15"/>
        <v>10000</v>
      </c>
      <c r="M121" s="648">
        <v>0</v>
      </c>
      <c r="N121" s="30">
        <v>10000</v>
      </c>
      <c r="O121" s="658">
        <f t="shared" si="13"/>
        <v>10000</v>
      </c>
      <c r="P121" s="648">
        <v>0</v>
      </c>
      <c r="Q121" s="648">
        <v>0</v>
      </c>
      <c r="R121" s="783">
        <v>0</v>
      </c>
      <c r="S121" s="786">
        <v>0</v>
      </c>
      <c r="T121" s="786">
        <v>0</v>
      </c>
      <c r="U121" s="785">
        <v>0</v>
      </c>
      <c r="V121" s="786">
        <v>0</v>
      </c>
      <c r="W121" s="786">
        <v>0</v>
      </c>
      <c r="X121" s="1068">
        <v>0</v>
      </c>
      <c r="Y121" s="787">
        <v>0</v>
      </c>
      <c r="Z121" s="254" t="s">
        <v>52</v>
      </c>
      <c r="AA121" s="29" t="s">
        <v>9</v>
      </c>
      <c r="AB121" s="104" t="s">
        <v>286</v>
      </c>
      <c r="AC121" s="202" t="s">
        <v>59</v>
      </c>
      <c r="AD121" s="104" t="s">
        <v>67</v>
      </c>
      <c r="AE121" s="899" t="s">
        <v>124</v>
      </c>
      <c r="AF121" s="885"/>
    </row>
    <row r="122" spans="1:32" outlineLevel="1" x14ac:dyDescent="0.25">
      <c r="A122" s="644" t="s">
        <v>1126</v>
      </c>
      <c r="B122" s="781" t="s">
        <v>54</v>
      </c>
      <c r="C122" s="782" t="s">
        <v>1127</v>
      </c>
      <c r="D122" s="29" t="s">
        <v>54</v>
      </c>
      <c r="E122" s="21" t="s">
        <v>13</v>
      </c>
      <c r="F122" s="29" t="s">
        <v>13</v>
      </c>
      <c r="G122" s="30">
        <v>20000</v>
      </c>
      <c r="H122" s="124">
        <v>0</v>
      </c>
      <c r="I122" s="897">
        <v>0</v>
      </c>
      <c r="J122" s="898">
        <v>0</v>
      </c>
      <c r="K122" s="783">
        <v>0</v>
      </c>
      <c r="L122" s="968">
        <f t="shared" si="15"/>
        <v>20000</v>
      </c>
      <c r="M122" s="648">
        <v>0</v>
      </c>
      <c r="N122" s="30">
        <v>20000</v>
      </c>
      <c r="O122" s="658">
        <f t="shared" si="13"/>
        <v>20000</v>
      </c>
      <c r="P122" s="648">
        <v>0</v>
      </c>
      <c r="Q122" s="648">
        <v>0</v>
      </c>
      <c r="R122" s="783">
        <v>0</v>
      </c>
      <c r="S122" s="786">
        <v>0</v>
      </c>
      <c r="T122" s="786">
        <v>0</v>
      </c>
      <c r="U122" s="785">
        <v>0</v>
      </c>
      <c r="V122" s="786">
        <v>0</v>
      </c>
      <c r="W122" s="786">
        <v>0</v>
      </c>
      <c r="X122" s="1068">
        <v>0</v>
      </c>
      <c r="Y122" s="787">
        <v>0</v>
      </c>
      <c r="Z122" s="254" t="s">
        <v>52</v>
      </c>
      <c r="AA122" s="29" t="s">
        <v>9</v>
      </c>
      <c r="AB122" s="104" t="s">
        <v>286</v>
      </c>
      <c r="AC122" s="202" t="s">
        <v>59</v>
      </c>
      <c r="AD122" s="104" t="s">
        <v>67</v>
      </c>
      <c r="AE122" s="899" t="s">
        <v>124</v>
      </c>
      <c r="AF122" s="885"/>
    </row>
    <row r="123" spans="1:32" ht="26.4" outlineLevel="1" x14ac:dyDescent="0.25">
      <c r="A123" s="644" t="s">
        <v>1128</v>
      </c>
      <c r="B123" s="781" t="s">
        <v>54</v>
      </c>
      <c r="C123" s="782" t="s">
        <v>1129</v>
      </c>
      <c r="D123" s="29" t="s">
        <v>54</v>
      </c>
      <c r="E123" s="21" t="s">
        <v>13</v>
      </c>
      <c r="F123" s="29" t="s">
        <v>13</v>
      </c>
      <c r="G123" s="30">
        <v>6300</v>
      </c>
      <c r="H123" s="124">
        <v>0</v>
      </c>
      <c r="I123" s="897">
        <v>0</v>
      </c>
      <c r="J123" s="898">
        <v>0</v>
      </c>
      <c r="K123" s="783">
        <v>0</v>
      </c>
      <c r="L123" s="968">
        <f t="shared" si="15"/>
        <v>6300</v>
      </c>
      <c r="M123" s="648">
        <v>0</v>
      </c>
      <c r="N123" s="30">
        <v>6300</v>
      </c>
      <c r="O123" s="658">
        <f t="shared" ref="O123:O124" si="16">M123+N123</f>
        <v>6300</v>
      </c>
      <c r="P123" s="648">
        <v>0</v>
      </c>
      <c r="Q123" s="648">
        <v>0</v>
      </c>
      <c r="R123" s="783">
        <v>0</v>
      </c>
      <c r="S123" s="786">
        <v>0</v>
      </c>
      <c r="T123" s="786">
        <v>0</v>
      </c>
      <c r="U123" s="785">
        <v>0</v>
      </c>
      <c r="V123" s="786">
        <v>0</v>
      </c>
      <c r="W123" s="786">
        <v>0</v>
      </c>
      <c r="X123" s="1068">
        <v>0</v>
      </c>
      <c r="Y123" s="787">
        <v>0</v>
      </c>
      <c r="Z123" s="254" t="s">
        <v>52</v>
      </c>
      <c r="AA123" s="29" t="s">
        <v>9</v>
      </c>
      <c r="AB123" s="104" t="s">
        <v>286</v>
      </c>
      <c r="AC123" s="202" t="s">
        <v>59</v>
      </c>
      <c r="AD123" s="104" t="s">
        <v>67</v>
      </c>
      <c r="AE123" s="899" t="s">
        <v>340</v>
      </c>
      <c r="AF123" s="885"/>
    </row>
    <row r="124" spans="1:32" ht="26.4" outlineLevel="1" x14ac:dyDescent="0.25">
      <c r="A124" s="644" t="s">
        <v>1130</v>
      </c>
      <c r="B124" s="781" t="s">
        <v>54</v>
      </c>
      <c r="C124" s="782" t="s">
        <v>1131</v>
      </c>
      <c r="D124" s="29" t="s">
        <v>54</v>
      </c>
      <c r="E124" s="21" t="s">
        <v>13</v>
      </c>
      <c r="F124" s="29" t="s">
        <v>13</v>
      </c>
      <c r="G124" s="30">
        <v>8500</v>
      </c>
      <c r="H124" s="124">
        <v>0</v>
      </c>
      <c r="I124" s="897">
        <v>0</v>
      </c>
      <c r="J124" s="898">
        <v>0</v>
      </c>
      <c r="K124" s="783">
        <v>0</v>
      </c>
      <c r="L124" s="968">
        <f t="shared" si="15"/>
        <v>8500</v>
      </c>
      <c r="M124" s="648">
        <v>0</v>
      </c>
      <c r="N124" s="30">
        <v>8500</v>
      </c>
      <c r="O124" s="658">
        <f t="shared" si="16"/>
        <v>8500</v>
      </c>
      <c r="P124" s="648">
        <v>0</v>
      </c>
      <c r="Q124" s="648">
        <v>0</v>
      </c>
      <c r="R124" s="783">
        <v>0</v>
      </c>
      <c r="S124" s="786">
        <v>0</v>
      </c>
      <c r="T124" s="786">
        <v>0</v>
      </c>
      <c r="U124" s="785">
        <v>0</v>
      </c>
      <c r="V124" s="786">
        <v>0</v>
      </c>
      <c r="W124" s="786">
        <v>0</v>
      </c>
      <c r="X124" s="1068">
        <v>0</v>
      </c>
      <c r="Y124" s="787">
        <v>0</v>
      </c>
      <c r="Z124" s="254" t="s">
        <v>52</v>
      </c>
      <c r="AA124" s="29" t="s">
        <v>9</v>
      </c>
      <c r="AB124" s="104" t="s">
        <v>286</v>
      </c>
      <c r="AC124" s="202" t="s">
        <v>59</v>
      </c>
      <c r="AD124" s="104" t="s">
        <v>67</v>
      </c>
      <c r="AE124" s="899" t="s">
        <v>129</v>
      </c>
      <c r="AF124" s="885"/>
    </row>
    <row r="125" spans="1:32" ht="38.25" customHeight="1" outlineLevel="1" x14ac:dyDescent="0.25">
      <c r="A125" s="847" t="s">
        <v>1167</v>
      </c>
      <c r="B125" s="848" t="s">
        <v>54</v>
      </c>
      <c r="C125" s="1808" t="s">
        <v>1168</v>
      </c>
      <c r="D125" s="31" t="s">
        <v>1169</v>
      </c>
      <c r="E125" s="23" t="s">
        <v>13</v>
      </c>
      <c r="F125" s="31" t="s">
        <v>13</v>
      </c>
      <c r="G125" s="1809">
        <v>3630</v>
      </c>
      <c r="H125" s="125">
        <v>0</v>
      </c>
      <c r="I125" s="1810">
        <v>0</v>
      </c>
      <c r="J125" s="884">
        <v>0</v>
      </c>
      <c r="K125" s="850">
        <v>0</v>
      </c>
      <c r="L125" s="1811">
        <v>3630</v>
      </c>
      <c r="M125" s="178">
        <v>0</v>
      </c>
      <c r="N125" s="1809">
        <v>3630</v>
      </c>
      <c r="O125" s="658">
        <v>3630</v>
      </c>
      <c r="P125" s="178">
        <v>0</v>
      </c>
      <c r="Q125" s="855">
        <v>0</v>
      </c>
      <c r="R125" s="852">
        <v>0</v>
      </c>
      <c r="S125" s="1812">
        <v>0</v>
      </c>
      <c r="T125" s="1813">
        <v>0</v>
      </c>
      <c r="U125" s="1814">
        <v>0</v>
      </c>
      <c r="V125" s="1812">
        <v>0</v>
      </c>
      <c r="W125" s="1812">
        <v>0</v>
      </c>
      <c r="X125" s="1815">
        <v>0</v>
      </c>
      <c r="Y125" s="1813">
        <v>0</v>
      </c>
      <c r="Z125" s="1816" t="s">
        <v>52</v>
      </c>
      <c r="AA125" s="31" t="s">
        <v>9</v>
      </c>
      <c r="AB125" s="1817" t="s">
        <v>719</v>
      </c>
      <c r="AC125" s="38" t="s">
        <v>59</v>
      </c>
      <c r="AD125" s="83" t="s">
        <v>67</v>
      </c>
      <c r="AE125" s="882" t="s">
        <v>129</v>
      </c>
      <c r="AF125" s="1818"/>
    </row>
    <row r="126" spans="1:32" outlineLevel="1" thickBot="1" x14ac:dyDescent="0.3">
      <c r="A126" s="361" t="s">
        <v>63</v>
      </c>
      <c r="B126" s="1381" t="s">
        <v>63</v>
      </c>
      <c r="C126" s="1382" t="s">
        <v>63</v>
      </c>
      <c r="D126" s="1304" t="s">
        <v>63</v>
      </c>
      <c r="E126" s="1383" t="s">
        <v>63</v>
      </c>
      <c r="F126" s="1306" t="s">
        <v>63</v>
      </c>
      <c r="G126" s="1311" t="s">
        <v>63</v>
      </c>
      <c r="H126" s="1184" t="s">
        <v>63</v>
      </c>
      <c r="I126" s="1185" t="s">
        <v>63</v>
      </c>
      <c r="J126" s="1186" t="s">
        <v>63</v>
      </c>
      <c r="K126" s="1107" t="s">
        <v>63</v>
      </c>
      <c r="L126" s="1108" t="s">
        <v>63</v>
      </c>
      <c r="M126" s="80" t="s">
        <v>63</v>
      </c>
      <c r="N126" s="80" t="s">
        <v>63</v>
      </c>
      <c r="O126" s="80" t="s">
        <v>63</v>
      </c>
      <c r="P126" s="80" t="s">
        <v>63</v>
      </c>
      <c r="Q126" s="1473" t="s">
        <v>63</v>
      </c>
      <c r="R126" s="1472" t="s">
        <v>63</v>
      </c>
      <c r="S126" s="1474" t="s">
        <v>63</v>
      </c>
      <c r="T126" s="1473" t="s">
        <v>63</v>
      </c>
      <c r="U126" s="1566" t="s">
        <v>63</v>
      </c>
      <c r="V126" s="1107" t="s">
        <v>63</v>
      </c>
      <c r="W126" s="1107" t="s">
        <v>63</v>
      </c>
      <c r="X126" s="1474" t="s">
        <v>63</v>
      </c>
      <c r="Y126" s="1473" t="s">
        <v>63</v>
      </c>
      <c r="Z126" s="80" t="s">
        <v>63</v>
      </c>
      <c r="AA126" s="1304" t="s">
        <v>63</v>
      </c>
      <c r="AB126" s="1515" t="s">
        <v>63</v>
      </c>
      <c r="AC126" s="14" t="s">
        <v>63</v>
      </c>
      <c r="AD126" s="14" t="s">
        <v>63</v>
      </c>
      <c r="AE126" s="1306" t="s">
        <v>63</v>
      </c>
      <c r="AF126" s="1306" t="s">
        <v>63</v>
      </c>
    </row>
    <row r="127" spans="1:32" s="888" customFormat="1" ht="30.75" customHeight="1" thickBot="1" x14ac:dyDescent="0.3">
      <c r="A127" s="243" t="s">
        <v>75</v>
      </c>
      <c r="B127" s="244"/>
      <c r="C127" s="247"/>
      <c r="D127" s="7" t="s">
        <v>52</v>
      </c>
      <c r="E127" s="332" t="s">
        <v>52</v>
      </c>
      <c r="F127" s="311" t="s">
        <v>52</v>
      </c>
      <c r="G127" s="160">
        <f t="shared" ref="G127:N127" si="17">SUM(G22:G126)</f>
        <v>6192250.5714499997</v>
      </c>
      <c r="H127" s="160">
        <f t="shared" si="17"/>
        <v>1375230.8259399997</v>
      </c>
      <c r="I127" s="160">
        <f t="shared" si="17"/>
        <v>93645.436719999983</v>
      </c>
      <c r="J127" s="160">
        <f t="shared" si="17"/>
        <v>408882.27769000002</v>
      </c>
      <c r="K127" s="160">
        <f t="shared" si="17"/>
        <v>93645.436719999983</v>
      </c>
      <c r="L127" s="160">
        <f t="shared" si="17"/>
        <v>1115860.1201200001</v>
      </c>
      <c r="M127" s="160">
        <f t="shared" si="17"/>
        <v>1696332.7580399998</v>
      </c>
      <c r="N127" s="160">
        <f t="shared" si="17"/>
        <v>-486827.20120000001</v>
      </c>
      <c r="O127" s="160">
        <f t="shared" ref="O127:O151" si="18">M127+N127</f>
        <v>1209505.5568399997</v>
      </c>
      <c r="P127" s="160">
        <f t="shared" ref="P127:Y127" si="19">SUM(P22:P126)</f>
        <v>1898737.4136699999</v>
      </c>
      <c r="Q127" s="160">
        <f t="shared" si="19"/>
        <v>1641506.7749999999</v>
      </c>
      <c r="R127" s="160">
        <f t="shared" si="19"/>
        <v>0</v>
      </c>
      <c r="S127" s="160">
        <f t="shared" si="19"/>
        <v>67270</v>
      </c>
      <c r="T127" s="160">
        <f t="shared" si="19"/>
        <v>0</v>
      </c>
      <c r="U127" s="160">
        <f t="shared" si="19"/>
        <v>43400</v>
      </c>
      <c r="V127" s="160">
        <f t="shared" si="19"/>
        <v>19675.784760000002</v>
      </c>
      <c r="W127" s="160">
        <f t="shared" si="19"/>
        <v>9047.5672100000011</v>
      </c>
      <c r="X127" s="160">
        <f t="shared" si="19"/>
        <v>23724.215240000001</v>
      </c>
      <c r="Y127" s="160">
        <f t="shared" si="19"/>
        <v>0</v>
      </c>
      <c r="Z127" s="7" t="s">
        <v>1161</v>
      </c>
      <c r="AA127" s="7" t="s">
        <v>52</v>
      </c>
      <c r="AB127" s="313" t="s">
        <v>52</v>
      </c>
      <c r="AC127" s="313" t="s">
        <v>52</v>
      </c>
      <c r="AD127" s="9" t="s">
        <v>52</v>
      </c>
      <c r="AE127" s="311" t="s">
        <v>52</v>
      </c>
      <c r="AF127" s="311" t="s">
        <v>52</v>
      </c>
    </row>
    <row r="128" spans="1:32" ht="27" outlineLevel="1" thickBot="1" x14ac:dyDescent="0.3">
      <c r="A128" s="487" t="s">
        <v>155</v>
      </c>
      <c r="B128" s="689" t="s">
        <v>215</v>
      </c>
      <c r="C128" s="488" t="s">
        <v>146</v>
      </c>
      <c r="D128" s="62" t="s">
        <v>565</v>
      </c>
      <c r="E128" s="256" t="s">
        <v>17</v>
      </c>
      <c r="F128" s="253" t="s">
        <v>17</v>
      </c>
      <c r="G128" s="489">
        <v>375100</v>
      </c>
      <c r="H128" s="686">
        <v>4516.4943999999996</v>
      </c>
      <c r="I128" s="493">
        <v>0</v>
      </c>
      <c r="J128" s="685">
        <v>0</v>
      </c>
      <c r="K128" s="491">
        <v>0</v>
      </c>
      <c r="L128" s="683">
        <f t="shared" ref="L128:L145" si="20">O128-K128</f>
        <v>1000.0000000000041</v>
      </c>
      <c r="M128" s="404">
        <v>1516.0056000000041</v>
      </c>
      <c r="N128" s="691">
        <v>-516.00559999999996</v>
      </c>
      <c r="O128" s="403">
        <f t="shared" si="18"/>
        <v>1000.0000000000041</v>
      </c>
      <c r="P128" s="495">
        <v>189583.5056</v>
      </c>
      <c r="Q128" s="497">
        <v>180000</v>
      </c>
      <c r="R128" s="493">
        <v>0</v>
      </c>
      <c r="S128" s="496">
        <v>0</v>
      </c>
      <c r="T128" s="692">
        <v>0</v>
      </c>
      <c r="U128" s="693">
        <v>0</v>
      </c>
      <c r="V128" s="694">
        <v>0</v>
      </c>
      <c r="W128" s="694">
        <v>0</v>
      </c>
      <c r="X128" s="695">
        <v>0</v>
      </c>
      <c r="Y128" s="696">
        <v>0</v>
      </c>
      <c r="Z128" s="165" t="s">
        <v>951</v>
      </c>
      <c r="AA128" s="62" t="s">
        <v>7</v>
      </c>
      <c r="AB128" s="183" t="s">
        <v>673</v>
      </c>
      <c r="AC128" s="697" t="s">
        <v>58</v>
      </c>
      <c r="AD128" s="165" t="s">
        <v>69</v>
      </c>
      <c r="AE128" s="253" t="s">
        <v>119</v>
      </c>
      <c r="AF128" s="253" t="s">
        <v>374</v>
      </c>
    </row>
    <row r="129" spans="1:32" ht="31.8" outlineLevel="1" thickBot="1" x14ac:dyDescent="0.3">
      <c r="A129" s="25" t="s">
        <v>156</v>
      </c>
      <c r="B129" s="1384" t="s">
        <v>216</v>
      </c>
      <c r="C129" s="1312" t="s">
        <v>446</v>
      </c>
      <c r="D129" s="1313" t="s">
        <v>566</v>
      </c>
      <c r="E129" s="1314" t="s">
        <v>19</v>
      </c>
      <c r="F129" s="1315" t="s">
        <v>19</v>
      </c>
      <c r="G129" s="1316">
        <f>18098.52+3050</f>
        <v>21148.52</v>
      </c>
      <c r="H129" s="1187">
        <v>21090.923999999999</v>
      </c>
      <c r="I129" s="1109">
        <v>57.595999999999997</v>
      </c>
      <c r="J129" s="1110">
        <v>0</v>
      </c>
      <c r="K129" s="1111">
        <v>57.595999999999997</v>
      </c>
      <c r="L129" s="1112">
        <f t="shared" si="20"/>
        <v>0</v>
      </c>
      <c r="M129" s="1113">
        <v>57.595999999999997</v>
      </c>
      <c r="N129" s="172">
        <v>0</v>
      </c>
      <c r="O129" s="1476">
        <f t="shared" si="18"/>
        <v>57.595999999999997</v>
      </c>
      <c r="P129" s="1477">
        <v>0</v>
      </c>
      <c r="Q129" s="1477">
        <v>0</v>
      </c>
      <c r="R129" s="1478">
        <v>0</v>
      </c>
      <c r="S129" s="1479">
        <v>0</v>
      </c>
      <c r="T129" s="1567">
        <v>0</v>
      </c>
      <c r="U129" s="1258">
        <v>0</v>
      </c>
      <c r="V129" s="1568">
        <v>0</v>
      </c>
      <c r="W129" s="1568">
        <v>0</v>
      </c>
      <c r="X129" s="1569">
        <v>0</v>
      </c>
      <c r="Y129" s="1570">
        <v>0</v>
      </c>
      <c r="Z129" s="1313" t="s">
        <v>52</v>
      </c>
      <c r="AA129" s="1313" t="s">
        <v>62</v>
      </c>
      <c r="AB129" s="1571" t="s">
        <v>325</v>
      </c>
      <c r="AC129" s="1571" t="s">
        <v>59</v>
      </c>
      <c r="AD129" s="1572" t="s">
        <v>67</v>
      </c>
      <c r="AE129" s="1315" t="s">
        <v>123</v>
      </c>
      <c r="AF129" s="1315" t="s">
        <v>374</v>
      </c>
    </row>
    <row r="130" spans="1:32" ht="27" outlineLevel="1" thickBot="1" x14ac:dyDescent="0.3">
      <c r="A130" s="487" t="s">
        <v>157</v>
      </c>
      <c r="B130" s="689" t="s">
        <v>283</v>
      </c>
      <c r="C130" s="488" t="s">
        <v>274</v>
      </c>
      <c r="D130" s="62" t="s">
        <v>64</v>
      </c>
      <c r="E130" s="132" t="s">
        <v>22</v>
      </c>
      <c r="F130" s="62" t="s">
        <v>22</v>
      </c>
      <c r="G130" s="698">
        <v>10449.56</v>
      </c>
      <c r="H130" s="698">
        <v>164.56</v>
      </c>
      <c r="I130" s="493">
        <v>0</v>
      </c>
      <c r="J130" s="685">
        <v>0</v>
      </c>
      <c r="K130" s="491">
        <v>0</v>
      </c>
      <c r="L130" s="699">
        <f t="shared" si="20"/>
        <v>785</v>
      </c>
      <c r="M130" s="531">
        <v>2285</v>
      </c>
      <c r="N130" s="700">
        <v>-1500</v>
      </c>
      <c r="O130" s="484">
        <f t="shared" si="18"/>
        <v>785</v>
      </c>
      <c r="P130" s="400">
        <v>9500</v>
      </c>
      <c r="Q130" s="61">
        <v>0</v>
      </c>
      <c r="R130" s="482">
        <v>0</v>
      </c>
      <c r="S130" s="189">
        <v>0</v>
      </c>
      <c r="T130" s="701">
        <v>0</v>
      </c>
      <c r="U130" s="568">
        <v>0</v>
      </c>
      <c r="V130" s="663">
        <v>0</v>
      </c>
      <c r="W130" s="663">
        <v>0</v>
      </c>
      <c r="X130" s="673">
        <v>0</v>
      </c>
      <c r="Y130" s="664">
        <v>0</v>
      </c>
      <c r="Z130" s="164" t="s">
        <v>828</v>
      </c>
      <c r="AA130" s="138" t="s">
        <v>7</v>
      </c>
      <c r="AB130" s="688" t="s">
        <v>673</v>
      </c>
      <c r="AC130" s="688" t="s">
        <v>58</v>
      </c>
      <c r="AD130" s="164" t="s">
        <v>66</v>
      </c>
      <c r="AE130" s="890" t="s">
        <v>126</v>
      </c>
      <c r="AF130" s="890" t="s">
        <v>374</v>
      </c>
    </row>
    <row r="131" spans="1:32" ht="27" outlineLevel="1" thickBot="1" x14ac:dyDescent="0.3">
      <c r="A131" s="527" t="s">
        <v>240</v>
      </c>
      <c r="B131" s="702" t="s">
        <v>315</v>
      </c>
      <c r="C131" s="529" t="s">
        <v>268</v>
      </c>
      <c r="D131" s="62" t="s">
        <v>898</v>
      </c>
      <c r="E131" s="131" t="s">
        <v>251</v>
      </c>
      <c r="F131" s="138" t="s">
        <v>251</v>
      </c>
      <c r="G131" s="566">
        <v>4000</v>
      </c>
      <c r="H131" s="404">
        <v>238</v>
      </c>
      <c r="I131" s="398">
        <v>0</v>
      </c>
      <c r="J131" s="703">
        <v>438.02</v>
      </c>
      <c r="K131" s="485">
        <v>0</v>
      </c>
      <c r="L131" s="683">
        <f t="shared" si="20"/>
        <v>1762</v>
      </c>
      <c r="M131" s="704">
        <v>3762</v>
      </c>
      <c r="N131" s="705">
        <v>-2000</v>
      </c>
      <c r="O131" s="484">
        <f t="shared" si="18"/>
        <v>1762</v>
      </c>
      <c r="P131" s="706">
        <v>2000</v>
      </c>
      <c r="Q131" s="706">
        <v>0</v>
      </c>
      <c r="R131" s="663">
        <v>0</v>
      </c>
      <c r="S131" s="673">
        <v>0</v>
      </c>
      <c r="T131" s="707">
        <v>0</v>
      </c>
      <c r="U131" s="568">
        <v>0</v>
      </c>
      <c r="V131" s="663">
        <v>0</v>
      </c>
      <c r="W131" s="663">
        <v>0</v>
      </c>
      <c r="X131" s="673">
        <v>0</v>
      </c>
      <c r="Y131" s="664">
        <v>0</v>
      </c>
      <c r="Z131" s="138" t="s">
        <v>952</v>
      </c>
      <c r="AA131" s="138" t="s">
        <v>9</v>
      </c>
      <c r="AB131" s="688" t="s">
        <v>673</v>
      </c>
      <c r="AC131" s="688" t="s">
        <v>59</v>
      </c>
      <c r="AD131" s="164">
        <v>2</v>
      </c>
      <c r="AE131" s="138" t="s">
        <v>133</v>
      </c>
      <c r="AF131" s="138" t="s">
        <v>377</v>
      </c>
    </row>
    <row r="132" spans="1:32" ht="31.2" outlineLevel="1" x14ac:dyDescent="0.25">
      <c r="A132" s="382" t="s">
        <v>269</v>
      </c>
      <c r="B132" s="708" t="s">
        <v>299</v>
      </c>
      <c r="C132" s="609" t="s">
        <v>270</v>
      </c>
      <c r="D132" s="35" t="s">
        <v>520</v>
      </c>
      <c r="E132" s="28" t="s">
        <v>16</v>
      </c>
      <c r="F132" s="36" t="s">
        <v>16</v>
      </c>
      <c r="G132" s="575">
        <v>4410</v>
      </c>
      <c r="H132" s="155">
        <v>759.88</v>
      </c>
      <c r="I132" s="378">
        <v>0</v>
      </c>
      <c r="J132" s="709">
        <v>0</v>
      </c>
      <c r="K132" s="379">
        <v>0</v>
      </c>
      <c r="L132" s="572">
        <f t="shared" si="20"/>
        <v>1150.1199999999999</v>
      </c>
      <c r="M132" s="612">
        <v>3650.12</v>
      </c>
      <c r="N132" s="710">
        <v>-2500</v>
      </c>
      <c r="O132" s="387">
        <f t="shared" si="18"/>
        <v>1150.1199999999999</v>
      </c>
      <c r="P132" s="544">
        <v>2500</v>
      </c>
      <c r="Q132" s="612">
        <v>0</v>
      </c>
      <c r="R132" s="615">
        <v>0</v>
      </c>
      <c r="S132" s="179">
        <v>0</v>
      </c>
      <c r="T132" s="578">
        <v>0</v>
      </c>
      <c r="U132" s="544">
        <v>0</v>
      </c>
      <c r="V132" s="614">
        <v>0</v>
      </c>
      <c r="W132" s="614">
        <v>0</v>
      </c>
      <c r="X132" s="179">
        <v>0</v>
      </c>
      <c r="Y132" s="95">
        <v>0</v>
      </c>
      <c r="Z132" s="167" t="s">
        <v>953</v>
      </c>
      <c r="AA132" s="711" t="s">
        <v>7</v>
      </c>
      <c r="AB132" s="381" t="s">
        <v>673</v>
      </c>
      <c r="AC132" s="391" t="s">
        <v>58</v>
      </c>
      <c r="AD132" s="163" t="s">
        <v>66</v>
      </c>
      <c r="AE132" s="36" t="s">
        <v>122</v>
      </c>
      <c r="AF132" s="36" t="s">
        <v>377</v>
      </c>
    </row>
    <row r="133" spans="1:32" ht="31.2" outlineLevel="1" x14ac:dyDescent="0.25">
      <c r="A133" s="219" t="s">
        <v>271</v>
      </c>
      <c r="B133" s="1386" t="s">
        <v>300</v>
      </c>
      <c r="C133" s="1387" t="s">
        <v>272</v>
      </c>
      <c r="D133" s="1333" t="s">
        <v>520</v>
      </c>
      <c r="E133" s="1334" t="s">
        <v>46</v>
      </c>
      <c r="F133" s="1388" t="s">
        <v>46</v>
      </c>
      <c r="G133" s="1389">
        <f>8429.947+2200-754.32728</f>
        <v>9875.6197200000006</v>
      </c>
      <c r="H133" s="1190">
        <v>2636.2456000000002</v>
      </c>
      <c r="I133" s="1158">
        <v>3919.6565600000004</v>
      </c>
      <c r="J133" s="1191">
        <v>3319.71756</v>
      </c>
      <c r="K133" s="1192">
        <v>3919.6565599999999</v>
      </c>
      <c r="L133" s="1193">
        <f t="shared" si="20"/>
        <v>3319.7175600000005</v>
      </c>
      <c r="M133" s="1194">
        <v>7993.7013999999999</v>
      </c>
      <c r="N133" s="203">
        <v>-754.32727999999997</v>
      </c>
      <c r="O133" s="1396">
        <f t="shared" si="18"/>
        <v>7239.3741200000004</v>
      </c>
      <c r="P133" s="1264">
        <v>0</v>
      </c>
      <c r="Q133" s="1196">
        <v>0</v>
      </c>
      <c r="R133" s="1577">
        <v>0</v>
      </c>
      <c r="S133" s="1578">
        <v>0</v>
      </c>
      <c r="T133" s="1270">
        <v>0</v>
      </c>
      <c r="U133" s="1264">
        <v>0</v>
      </c>
      <c r="V133" s="1579">
        <v>0</v>
      </c>
      <c r="W133" s="1579">
        <v>0</v>
      </c>
      <c r="X133" s="1578">
        <v>0</v>
      </c>
      <c r="Y133" s="1278">
        <v>0</v>
      </c>
      <c r="Z133" s="1580" t="s">
        <v>954</v>
      </c>
      <c r="AA133" s="1581" t="s">
        <v>62</v>
      </c>
      <c r="AB133" s="1504" t="s">
        <v>330</v>
      </c>
      <c r="AC133" s="1504" t="s">
        <v>59</v>
      </c>
      <c r="AD133" s="1582" t="s">
        <v>67</v>
      </c>
      <c r="AE133" s="1333" t="s">
        <v>127</v>
      </c>
      <c r="AF133" s="1333" t="s">
        <v>374</v>
      </c>
    </row>
    <row r="134" spans="1:32" ht="31.8" outlineLevel="1" thickBot="1" x14ac:dyDescent="0.3">
      <c r="A134" s="477" t="s">
        <v>273</v>
      </c>
      <c r="B134" s="534" t="s">
        <v>301</v>
      </c>
      <c r="C134" s="588" t="s">
        <v>475</v>
      </c>
      <c r="D134" s="901" t="s">
        <v>520</v>
      </c>
      <c r="E134" s="64" t="s">
        <v>47</v>
      </c>
      <c r="F134" s="51" t="s">
        <v>47</v>
      </c>
      <c r="G134" s="589">
        <v>25000</v>
      </c>
      <c r="H134" s="597">
        <v>63</v>
      </c>
      <c r="I134" s="595">
        <v>0</v>
      </c>
      <c r="J134" s="713">
        <v>25.41</v>
      </c>
      <c r="K134" s="714">
        <v>0</v>
      </c>
      <c r="L134" s="594">
        <f t="shared" si="20"/>
        <v>337</v>
      </c>
      <c r="M134" s="638">
        <v>937</v>
      </c>
      <c r="N134" s="705">
        <v>-600</v>
      </c>
      <c r="O134" s="106">
        <f t="shared" si="18"/>
        <v>337</v>
      </c>
      <c r="P134" s="591">
        <v>24600</v>
      </c>
      <c r="Q134" s="638">
        <v>0</v>
      </c>
      <c r="R134" s="641">
        <v>0</v>
      </c>
      <c r="S134" s="677">
        <v>0</v>
      </c>
      <c r="T134" s="592">
        <v>0</v>
      </c>
      <c r="U134" s="591">
        <v>0</v>
      </c>
      <c r="V134" s="640">
        <v>0</v>
      </c>
      <c r="W134" s="640">
        <v>0</v>
      </c>
      <c r="X134" s="677">
        <v>0</v>
      </c>
      <c r="Y134" s="639">
        <v>0</v>
      </c>
      <c r="Z134" s="51" t="s">
        <v>955</v>
      </c>
      <c r="AA134" s="138" t="s">
        <v>7</v>
      </c>
      <c r="AB134" s="107" t="s">
        <v>673</v>
      </c>
      <c r="AC134" s="107" t="s">
        <v>58</v>
      </c>
      <c r="AD134" s="140" t="s">
        <v>66</v>
      </c>
      <c r="AE134" s="51" t="s">
        <v>121</v>
      </c>
      <c r="AF134" s="51" t="s">
        <v>374</v>
      </c>
    </row>
    <row r="135" spans="1:32" ht="26.4" outlineLevel="1" x14ac:dyDescent="0.25">
      <c r="A135" s="371" t="s">
        <v>302</v>
      </c>
      <c r="B135" s="715" t="s">
        <v>316</v>
      </c>
      <c r="C135" s="611" t="s">
        <v>409</v>
      </c>
      <c r="D135" s="35" t="s">
        <v>580</v>
      </c>
      <c r="E135" s="47" t="s">
        <v>303</v>
      </c>
      <c r="F135" s="35" t="s">
        <v>303</v>
      </c>
      <c r="G135" s="716">
        <v>22324</v>
      </c>
      <c r="H135" s="155">
        <v>658.24</v>
      </c>
      <c r="I135" s="378">
        <v>3114.22606</v>
      </c>
      <c r="J135" s="709">
        <v>6085.0486999999994</v>
      </c>
      <c r="K135" s="336">
        <v>3114.22606</v>
      </c>
      <c r="L135" s="572">
        <f t="shared" si="20"/>
        <v>8051.5339400000021</v>
      </c>
      <c r="M135" s="612">
        <v>15665.760000000002</v>
      </c>
      <c r="N135" s="717">
        <v>-4500</v>
      </c>
      <c r="O135" s="547">
        <f t="shared" si="18"/>
        <v>11165.760000000002</v>
      </c>
      <c r="P135" s="543">
        <v>10500</v>
      </c>
      <c r="Q135" s="612">
        <v>0</v>
      </c>
      <c r="R135" s="615">
        <v>0</v>
      </c>
      <c r="S135" s="668">
        <v>0</v>
      </c>
      <c r="T135" s="615">
        <v>0</v>
      </c>
      <c r="U135" s="544">
        <v>0</v>
      </c>
      <c r="V135" s="614">
        <v>0</v>
      </c>
      <c r="W135" s="614">
        <v>0</v>
      </c>
      <c r="X135" s="668">
        <v>0</v>
      </c>
      <c r="Y135" s="613">
        <v>0</v>
      </c>
      <c r="Z135" s="41" t="s">
        <v>956</v>
      </c>
      <c r="AA135" s="36" t="s">
        <v>9</v>
      </c>
      <c r="AB135" s="108" t="s">
        <v>673</v>
      </c>
      <c r="AC135" s="108" t="s">
        <v>59</v>
      </c>
      <c r="AD135" s="156">
        <v>1</v>
      </c>
      <c r="AE135" s="35" t="s">
        <v>123</v>
      </c>
      <c r="AF135" s="35" t="s">
        <v>374</v>
      </c>
    </row>
    <row r="136" spans="1:32" ht="31.2" outlineLevel="1" x14ac:dyDescent="0.25">
      <c r="A136" s="371" t="s">
        <v>304</v>
      </c>
      <c r="B136" s="708" t="s">
        <v>318</v>
      </c>
      <c r="C136" s="611" t="s">
        <v>305</v>
      </c>
      <c r="D136" s="35" t="s">
        <v>957</v>
      </c>
      <c r="E136" s="28" t="s">
        <v>22</v>
      </c>
      <c r="F136" s="36" t="s">
        <v>22</v>
      </c>
      <c r="G136" s="542">
        <v>108900</v>
      </c>
      <c r="H136" s="718">
        <v>0</v>
      </c>
      <c r="I136" s="378">
        <v>5127.9799999999996</v>
      </c>
      <c r="J136" s="709">
        <v>0</v>
      </c>
      <c r="K136" s="336">
        <v>5127.9799999999996</v>
      </c>
      <c r="L136" s="572">
        <f t="shared" si="20"/>
        <v>4872.0200000000004</v>
      </c>
      <c r="M136" s="96">
        <v>13900</v>
      </c>
      <c r="N136" s="235">
        <v>-3900</v>
      </c>
      <c r="O136" s="387">
        <f t="shared" si="18"/>
        <v>10000</v>
      </c>
      <c r="P136" s="543">
        <v>98900</v>
      </c>
      <c r="Q136" s="612">
        <v>0</v>
      </c>
      <c r="R136" s="615">
        <v>0</v>
      </c>
      <c r="S136" s="668">
        <v>0</v>
      </c>
      <c r="T136" s="615">
        <v>0</v>
      </c>
      <c r="U136" s="544">
        <v>0</v>
      </c>
      <c r="V136" s="614">
        <v>0</v>
      </c>
      <c r="W136" s="614">
        <v>0</v>
      </c>
      <c r="X136" s="668">
        <v>0</v>
      </c>
      <c r="Y136" s="613">
        <v>0</v>
      </c>
      <c r="Z136" s="163" t="s">
        <v>958</v>
      </c>
      <c r="AA136" s="36" t="s">
        <v>7</v>
      </c>
      <c r="AB136" s="381" t="s">
        <v>673</v>
      </c>
      <c r="AC136" s="381" t="s">
        <v>58</v>
      </c>
      <c r="AD136" s="156" t="s">
        <v>66</v>
      </c>
      <c r="AE136" s="35" t="s">
        <v>126</v>
      </c>
      <c r="AF136" s="35" t="s">
        <v>377</v>
      </c>
    </row>
    <row r="137" spans="1:32" ht="26.4" outlineLevel="1" x14ac:dyDescent="0.25">
      <c r="A137" s="382" t="s">
        <v>306</v>
      </c>
      <c r="B137" s="708" t="s">
        <v>319</v>
      </c>
      <c r="C137" s="609" t="s">
        <v>307</v>
      </c>
      <c r="D137" s="35" t="s">
        <v>959</v>
      </c>
      <c r="E137" s="28" t="s">
        <v>308</v>
      </c>
      <c r="F137" s="36" t="s">
        <v>308</v>
      </c>
      <c r="G137" s="575">
        <v>30000</v>
      </c>
      <c r="H137" s="718">
        <v>0</v>
      </c>
      <c r="I137" s="388">
        <v>0</v>
      </c>
      <c r="J137" s="719">
        <v>95</v>
      </c>
      <c r="K137" s="720">
        <v>0</v>
      </c>
      <c r="L137" s="579">
        <f t="shared" si="20"/>
        <v>500</v>
      </c>
      <c r="M137" s="96">
        <v>3000</v>
      </c>
      <c r="N137" s="387">
        <v>-2500</v>
      </c>
      <c r="O137" s="387">
        <f t="shared" si="18"/>
        <v>500</v>
      </c>
      <c r="P137" s="576">
        <v>2500</v>
      </c>
      <c r="Q137" s="96">
        <v>27000</v>
      </c>
      <c r="R137" s="605">
        <v>0</v>
      </c>
      <c r="S137" s="179">
        <v>0</v>
      </c>
      <c r="T137" s="605">
        <v>0</v>
      </c>
      <c r="U137" s="577">
        <v>0</v>
      </c>
      <c r="V137" s="602">
        <v>0</v>
      </c>
      <c r="W137" s="602">
        <v>0</v>
      </c>
      <c r="X137" s="179">
        <v>0</v>
      </c>
      <c r="Y137" s="95">
        <v>0</v>
      </c>
      <c r="Z137" s="36" t="s">
        <v>960</v>
      </c>
      <c r="AA137" s="36" t="s">
        <v>7</v>
      </c>
      <c r="AB137" s="381" t="s">
        <v>584</v>
      </c>
      <c r="AC137" s="391" t="s">
        <v>58</v>
      </c>
      <c r="AD137" s="163" t="s">
        <v>66</v>
      </c>
      <c r="AE137" s="36" t="s">
        <v>120</v>
      </c>
      <c r="AF137" s="36" t="s">
        <v>377</v>
      </c>
    </row>
    <row r="138" spans="1:32" ht="27" outlineLevel="1" thickBot="1" x14ac:dyDescent="0.3">
      <c r="A138" s="477" t="s">
        <v>309</v>
      </c>
      <c r="B138" s="534" t="s">
        <v>684</v>
      </c>
      <c r="C138" s="588" t="s">
        <v>310</v>
      </c>
      <c r="D138" s="51" t="s">
        <v>961</v>
      </c>
      <c r="E138" s="64" t="s">
        <v>4</v>
      </c>
      <c r="F138" s="51" t="s">
        <v>311</v>
      </c>
      <c r="G138" s="589">
        <v>350000</v>
      </c>
      <c r="H138" s="597">
        <v>0</v>
      </c>
      <c r="I138" s="595">
        <v>500</v>
      </c>
      <c r="J138" s="713">
        <v>2631.25</v>
      </c>
      <c r="K138" s="714">
        <v>500</v>
      </c>
      <c r="L138" s="594">
        <f t="shared" si="20"/>
        <v>4500</v>
      </c>
      <c r="M138" s="638">
        <v>40000</v>
      </c>
      <c r="N138" s="721">
        <v>-35000</v>
      </c>
      <c r="O138" s="106">
        <f t="shared" si="18"/>
        <v>5000</v>
      </c>
      <c r="P138" s="590">
        <v>285000</v>
      </c>
      <c r="Q138" s="638">
        <v>60000</v>
      </c>
      <c r="R138" s="641">
        <v>0</v>
      </c>
      <c r="S138" s="677">
        <v>0</v>
      </c>
      <c r="T138" s="641">
        <v>0</v>
      </c>
      <c r="U138" s="591">
        <v>0</v>
      </c>
      <c r="V138" s="640">
        <v>0</v>
      </c>
      <c r="W138" s="640">
        <v>0</v>
      </c>
      <c r="X138" s="677">
        <v>0</v>
      </c>
      <c r="Y138" s="639">
        <v>0</v>
      </c>
      <c r="Z138" s="164" t="s">
        <v>962</v>
      </c>
      <c r="AA138" s="51" t="s">
        <v>5</v>
      </c>
      <c r="AB138" s="688" t="s">
        <v>673</v>
      </c>
      <c r="AC138" s="486" t="s">
        <v>58</v>
      </c>
      <c r="AD138" s="140" t="s">
        <v>66</v>
      </c>
      <c r="AE138" s="51" t="s">
        <v>120</v>
      </c>
      <c r="AF138" s="138" t="s">
        <v>377</v>
      </c>
    </row>
    <row r="139" spans="1:32" ht="27" outlineLevel="1" thickBot="1" x14ac:dyDescent="0.3">
      <c r="A139" s="477" t="s">
        <v>321</v>
      </c>
      <c r="B139" s="534" t="s">
        <v>322</v>
      </c>
      <c r="C139" s="588" t="s">
        <v>323</v>
      </c>
      <c r="D139" s="51" t="s">
        <v>547</v>
      </c>
      <c r="E139" s="64" t="s">
        <v>324</v>
      </c>
      <c r="F139" s="51" t="s">
        <v>324</v>
      </c>
      <c r="G139" s="589">
        <v>43000</v>
      </c>
      <c r="H139" s="739">
        <v>774.4</v>
      </c>
      <c r="I139" s="595">
        <v>0</v>
      </c>
      <c r="J139" s="713">
        <v>8343.0053399999997</v>
      </c>
      <c r="K139" s="714">
        <v>0</v>
      </c>
      <c r="L139" s="594">
        <f t="shared" si="20"/>
        <v>27225.599999999999</v>
      </c>
      <c r="M139" s="638">
        <v>42225.599999999999</v>
      </c>
      <c r="N139" s="722">
        <v>-15000</v>
      </c>
      <c r="O139" s="106">
        <f t="shared" si="18"/>
        <v>27225.599999999999</v>
      </c>
      <c r="P139" s="590">
        <v>15000</v>
      </c>
      <c r="Q139" s="638">
        <v>0</v>
      </c>
      <c r="R139" s="605">
        <v>0</v>
      </c>
      <c r="S139" s="179">
        <v>0</v>
      </c>
      <c r="T139" s="605">
        <v>0</v>
      </c>
      <c r="U139" s="577">
        <v>0</v>
      </c>
      <c r="V139" s="602">
        <v>0</v>
      </c>
      <c r="W139" s="602">
        <v>0</v>
      </c>
      <c r="X139" s="179">
        <v>0</v>
      </c>
      <c r="Y139" s="95">
        <v>0</v>
      </c>
      <c r="Z139" s="138" t="s">
        <v>963</v>
      </c>
      <c r="AA139" s="35" t="s">
        <v>9</v>
      </c>
      <c r="AB139" s="381" t="s">
        <v>964</v>
      </c>
      <c r="AC139" s="381" t="s">
        <v>59</v>
      </c>
      <c r="AD139" s="156" t="s">
        <v>68</v>
      </c>
      <c r="AE139" s="35" t="s">
        <v>135</v>
      </c>
      <c r="AF139" s="35"/>
    </row>
    <row r="140" spans="1:32" ht="31.8" outlineLevel="1" thickBot="1" x14ac:dyDescent="0.3">
      <c r="A140" s="371" t="s">
        <v>343</v>
      </c>
      <c r="B140" s="715" t="s">
        <v>535</v>
      </c>
      <c r="C140" s="723" t="s">
        <v>521</v>
      </c>
      <c r="D140" s="41" t="s">
        <v>546</v>
      </c>
      <c r="E140" s="70" t="s">
        <v>344</v>
      </c>
      <c r="F140" s="41" t="s">
        <v>344</v>
      </c>
      <c r="G140" s="724">
        <v>11000</v>
      </c>
      <c r="H140" s="725">
        <v>380</v>
      </c>
      <c r="I140" s="726">
        <v>0</v>
      </c>
      <c r="J140" s="727">
        <v>0</v>
      </c>
      <c r="K140" s="728">
        <v>0</v>
      </c>
      <c r="L140" s="729">
        <f t="shared" si="20"/>
        <v>1620</v>
      </c>
      <c r="M140" s="730">
        <v>6620</v>
      </c>
      <c r="N140" s="731">
        <v>-5000</v>
      </c>
      <c r="O140" s="547">
        <f t="shared" si="18"/>
        <v>1620</v>
      </c>
      <c r="P140" s="730">
        <v>9000</v>
      </c>
      <c r="Q140" s="730">
        <v>0</v>
      </c>
      <c r="R140" s="732">
        <v>0</v>
      </c>
      <c r="S140" s="733">
        <v>0</v>
      </c>
      <c r="T140" s="734">
        <v>0</v>
      </c>
      <c r="U140" s="735">
        <v>0</v>
      </c>
      <c r="V140" s="736">
        <v>0</v>
      </c>
      <c r="W140" s="736">
        <v>0</v>
      </c>
      <c r="X140" s="733">
        <v>0</v>
      </c>
      <c r="Y140" s="734">
        <v>0</v>
      </c>
      <c r="Z140" s="167" t="s">
        <v>965</v>
      </c>
      <c r="AA140" s="41" t="s">
        <v>5</v>
      </c>
      <c r="AB140" s="108" t="s">
        <v>673</v>
      </c>
      <c r="AC140" s="737" t="s">
        <v>58</v>
      </c>
      <c r="AD140" s="167" t="s">
        <v>68</v>
      </c>
      <c r="AE140" s="41" t="s">
        <v>340</v>
      </c>
      <c r="AF140" s="41"/>
    </row>
    <row r="141" spans="1:32" ht="39.6" outlineLevel="1" x14ac:dyDescent="0.25">
      <c r="A141" s="371" t="s">
        <v>410</v>
      </c>
      <c r="B141" s="715" t="s">
        <v>447</v>
      </c>
      <c r="C141" s="611" t="s">
        <v>687</v>
      </c>
      <c r="D141" s="35" t="s">
        <v>567</v>
      </c>
      <c r="E141" s="47" t="s">
        <v>19</v>
      </c>
      <c r="F141" s="35" t="s">
        <v>19</v>
      </c>
      <c r="G141" s="542">
        <v>8000</v>
      </c>
      <c r="H141" s="155">
        <v>0</v>
      </c>
      <c r="I141" s="378">
        <v>0</v>
      </c>
      <c r="J141" s="709">
        <v>0</v>
      </c>
      <c r="K141" s="379">
        <v>0</v>
      </c>
      <c r="L141" s="572">
        <f t="shared" si="20"/>
        <v>0</v>
      </c>
      <c r="M141" s="612">
        <v>1000</v>
      </c>
      <c r="N141" s="731">
        <v>-1000</v>
      </c>
      <c r="O141" s="547">
        <f t="shared" si="18"/>
        <v>0</v>
      </c>
      <c r="P141" s="612">
        <v>8000</v>
      </c>
      <c r="Q141" s="613">
        <v>0</v>
      </c>
      <c r="R141" s="544">
        <v>0</v>
      </c>
      <c r="S141" s="668">
        <v>0</v>
      </c>
      <c r="T141" s="613">
        <v>0</v>
      </c>
      <c r="U141" s="544">
        <v>0</v>
      </c>
      <c r="V141" s="614">
        <v>0</v>
      </c>
      <c r="W141" s="614">
        <v>0</v>
      </c>
      <c r="X141" s="668">
        <v>0</v>
      </c>
      <c r="Y141" s="613">
        <v>0</v>
      </c>
      <c r="Z141" s="163" t="s">
        <v>784</v>
      </c>
      <c r="AA141" s="35" t="s">
        <v>7</v>
      </c>
      <c r="AB141" s="108" t="s">
        <v>673</v>
      </c>
      <c r="AC141" s="109" t="s">
        <v>58</v>
      </c>
      <c r="AD141" s="156" t="s">
        <v>66</v>
      </c>
      <c r="AE141" s="35" t="s">
        <v>123</v>
      </c>
      <c r="AF141" s="35" t="s">
        <v>411</v>
      </c>
    </row>
    <row r="142" spans="1:32" ht="40.200000000000003" outlineLevel="1" thickBot="1" x14ac:dyDescent="0.3">
      <c r="A142" s="477" t="s">
        <v>412</v>
      </c>
      <c r="B142" s="534" t="s">
        <v>448</v>
      </c>
      <c r="C142" s="738" t="s">
        <v>688</v>
      </c>
      <c r="D142" s="51" t="s">
        <v>567</v>
      </c>
      <c r="E142" s="64" t="s">
        <v>413</v>
      </c>
      <c r="F142" s="51" t="s">
        <v>413</v>
      </c>
      <c r="G142" s="589">
        <v>13000</v>
      </c>
      <c r="H142" s="739">
        <v>0</v>
      </c>
      <c r="I142" s="595">
        <v>0</v>
      </c>
      <c r="J142" s="713">
        <v>0</v>
      </c>
      <c r="K142" s="593">
        <v>0</v>
      </c>
      <c r="L142" s="594">
        <f t="shared" si="20"/>
        <v>400</v>
      </c>
      <c r="M142" s="638">
        <v>300</v>
      </c>
      <c r="N142" s="106">
        <v>100</v>
      </c>
      <c r="O142" s="484">
        <f t="shared" si="18"/>
        <v>400</v>
      </c>
      <c r="P142" s="638">
        <v>10100</v>
      </c>
      <c r="Q142" s="639">
        <v>0</v>
      </c>
      <c r="R142" s="591">
        <v>0</v>
      </c>
      <c r="S142" s="677">
        <v>0</v>
      </c>
      <c r="T142" s="639">
        <v>2500</v>
      </c>
      <c r="U142" s="591">
        <v>0</v>
      </c>
      <c r="V142" s="640">
        <v>0</v>
      </c>
      <c r="W142" s="640">
        <v>0</v>
      </c>
      <c r="X142" s="677">
        <v>0</v>
      </c>
      <c r="Y142" s="639">
        <v>0</v>
      </c>
      <c r="Z142" s="164" t="s">
        <v>966</v>
      </c>
      <c r="AA142" s="51" t="s">
        <v>7</v>
      </c>
      <c r="AB142" s="688" t="s">
        <v>673</v>
      </c>
      <c r="AC142" s="107" t="s">
        <v>58</v>
      </c>
      <c r="AD142" s="140" t="s">
        <v>66</v>
      </c>
      <c r="AE142" s="51" t="s">
        <v>133</v>
      </c>
      <c r="AF142" s="51" t="s">
        <v>411</v>
      </c>
    </row>
    <row r="143" spans="1:32" ht="26.4" outlineLevel="1" x14ac:dyDescent="0.25">
      <c r="A143" s="382" t="s">
        <v>449</v>
      </c>
      <c r="B143" s="708" t="s">
        <v>522</v>
      </c>
      <c r="C143" s="609" t="s">
        <v>476</v>
      </c>
      <c r="D143" s="36" t="s">
        <v>545</v>
      </c>
      <c r="E143" s="28" t="s">
        <v>450</v>
      </c>
      <c r="F143" s="36" t="s">
        <v>450</v>
      </c>
      <c r="G143" s="575">
        <v>16500</v>
      </c>
      <c r="H143" s="155">
        <v>0</v>
      </c>
      <c r="I143" s="388">
        <v>0</v>
      </c>
      <c r="J143" s="719">
        <v>0</v>
      </c>
      <c r="K143" s="389">
        <v>0</v>
      </c>
      <c r="L143" s="579">
        <f t="shared" si="20"/>
        <v>500</v>
      </c>
      <c r="M143" s="96">
        <v>300</v>
      </c>
      <c r="N143" s="731">
        <v>200</v>
      </c>
      <c r="O143" s="387">
        <f t="shared" si="18"/>
        <v>500</v>
      </c>
      <c r="P143" s="96">
        <v>16000</v>
      </c>
      <c r="Q143" s="95">
        <v>0</v>
      </c>
      <c r="R143" s="577">
        <v>0</v>
      </c>
      <c r="S143" s="179">
        <v>0</v>
      </c>
      <c r="T143" s="95">
        <v>0</v>
      </c>
      <c r="U143" s="577">
        <v>0</v>
      </c>
      <c r="V143" s="602">
        <v>0</v>
      </c>
      <c r="W143" s="602">
        <v>0</v>
      </c>
      <c r="X143" s="179">
        <v>0</v>
      </c>
      <c r="Y143" s="95">
        <v>0</v>
      </c>
      <c r="Z143" s="163" t="s">
        <v>967</v>
      </c>
      <c r="AA143" s="36" t="s">
        <v>7</v>
      </c>
      <c r="AB143" s="391" t="s">
        <v>673</v>
      </c>
      <c r="AC143" s="391" t="s">
        <v>58</v>
      </c>
      <c r="AD143" s="163">
        <v>3</v>
      </c>
      <c r="AE143" s="36" t="s">
        <v>132</v>
      </c>
      <c r="AF143" s="36" t="s">
        <v>411</v>
      </c>
    </row>
    <row r="144" spans="1:32" ht="26.4" outlineLevel="1" x14ac:dyDescent="0.25">
      <c r="A144" s="216" t="s">
        <v>451</v>
      </c>
      <c r="B144" s="1386" t="s">
        <v>685</v>
      </c>
      <c r="C144" s="1387" t="s">
        <v>477</v>
      </c>
      <c r="D144" s="1390" t="s">
        <v>545</v>
      </c>
      <c r="E144" s="1391" t="s">
        <v>628</v>
      </c>
      <c r="F144" s="1390" t="s">
        <v>628</v>
      </c>
      <c r="G144" s="1392">
        <f>6000-264.6</f>
        <v>5735.4</v>
      </c>
      <c r="H144" s="1195">
        <v>0</v>
      </c>
      <c r="I144" s="1158">
        <v>0</v>
      </c>
      <c r="J144" s="1191">
        <v>5735.4</v>
      </c>
      <c r="K144" s="1192">
        <v>0</v>
      </c>
      <c r="L144" s="1193">
        <f t="shared" si="20"/>
        <v>5735.4</v>
      </c>
      <c r="M144" s="1194">
        <v>6000</v>
      </c>
      <c r="N144" s="335">
        <v>-264.60000000000002</v>
      </c>
      <c r="O144" s="1396">
        <f t="shared" si="18"/>
        <v>5735.4</v>
      </c>
      <c r="P144" s="1194">
        <v>0</v>
      </c>
      <c r="Q144" s="1278">
        <v>0</v>
      </c>
      <c r="R144" s="1269">
        <v>0</v>
      </c>
      <c r="S144" s="1578">
        <v>0</v>
      </c>
      <c r="T144" s="1278">
        <v>0</v>
      </c>
      <c r="U144" s="1269">
        <v>0</v>
      </c>
      <c r="V144" s="1271">
        <v>0</v>
      </c>
      <c r="W144" s="1271">
        <v>0</v>
      </c>
      <c r="X144" s="1578">
        <v>0</v>
      </c>
      <c r="Y144" s="1278">
        <v>0</v>
      </c>
      <c r="Z144" s="1468" t="s">
        <v>968</v>
      </c>
      <c r="AA144" s="1390" t="s">
        <v>62</v>
      </c>
      <c r="AB144" s="1504" t="s">
        <v>330</v>
      </c>
      <c r="AC144" s="1583" t="s">
        <v>59</v>
      </c>
      <c r="AD144" s="1468">
        <v>1</v>
      </c>
      <c r="AE144" s="1390" t="s">
        <v>340</v>
      </c>
      <c r="AF144" s="1390" t="s">
        <v>374</v>
      </c>
    </row>
    <row r="145" spans="1:32" ht="26.4" outlineLevel="1" x14ac:dyDescent="0.25">
      <c r="A145" s="382" t="s">
        <v>452</v>
      </c>
      <c r="B145" s="708" t="s">
        <v>523</v>
      </c>
      <c r="C145" s="609" t="s">
        <v>453</v>
      </c>
      <c r="D145" s="114" t="s">
        <v>545</v>
      </c>
      <c r="E145" s="28" t="s">
        <v>19</v>
      </c>
      <c r="F145" s="36" t="s">
        <v>19</v>
      </c>
      <c r="G145" s="575">
        <v>4000</v>
      </c>
      <c r="H145" s="718">
        <v>0</v>
      </c>
      <c r="I145" s="388">
        <v>0</v>
      </c>
      <c r="J145" s="719">
        <v>0</v>
      </c>
      <c r="K145" s="389">
        <v>0</v>
      </c>
      <c r="L145" s="579">
        <f t="shared" si="20"/>
        <v>700</v>
      </c>
      <c r="M145" s="96">
        <v>500</v>
      </c>
      <c r="N145" s="731">
        <v>200</v>
      </c>
      <c r="O145" s="387">
        <f t="shared" si="18"/>
        <v>700</v>
      </c>
      <c r="P145" s="96">
        <v>3300</v>
      </c>
      <c r="Q145" s="95">
        <v>0</v>
      </c>
      <c r="R145" s="602">
        <v>0</v>
      </c>
      <c r="S145" s="179">
        <v>0</v>
      </c>
      <c r="T145" s="605">
        <v>0</v>
      </c>
      <c r="U145" s="577">
        <v>0</v>
      </c>
      <c r="V145" s="602">
        <v>0</v>
      </c>
      <c r="W145" s="602">
        <v>0</v>
      </c>
      <c r="X145" s="179">
        <v>0</v>
      </c>
      <c r="Y145" s="95">
        <v>0</v>
      </c>
      <c r="Z145" s="352" t="s">
        <v>967</v>
      </c>
      <c r="AA145" s="36" t="s">
        <v>9</v>
      </c>
      <c r="AB145" s="381" t="s">
        <v>673</v>
      </c>
      <c r="AC145" s="391" t="s">
        <v>59</v>
      </c>
      <c r="AD145" s="163">
        <v>1</v>
      </c>
      <c r="AE145" s="36" t="s">
        <v>123</v>
      </c>
      <c r="AF145" s="36" t="s">
        <v>374</v>
      </c>
    </row>
    <row r="146" spans="1:32" ht="31.2" outlineLevel="1" x14ac:dyDescent="0.25">
      <c r="A146" s="382" t="s">
        <v>454</v>
      </c>
      <c r="B146" s="708" t="s">
        <v>524</v>
      </c>
      <c r="C146" s="609" t="s">
        <v>455</v>
      </c>
      <c r="D146" s="114" t="s">
        <v>545</v>
      </c>
      <c r="E146" s="28" t="s">
        <v>18</v>
      </c>
      <c r="F146" s="36" t="s">
        <v>18</v>
      </c>
      <c r="G146" s="575">
        <v>16100</v>
      </c>
      <c r="H146" s="718">
        <v>287.39999999999998</v>
      </c>
      <c r="I146" s="388">
        <v>0</v>
      </c>
      <c r="J146" s="719">
        <v>0</v>
      </c>
      <c r="K146" s="389">
        <v>0</v>
      </c>
      <c r="L146" s="579">
        <f t="shared" ref="L146:L160" si="21">O146-K146</f>
        <v>2812.6000000000004</v>
      </c>
      <c r="M146" s="96">
        <v>5812.6</v>
      </c>
      <c r="N146" s="731">
        <v>-3000</v>
      </c>
      <c r="O146" s="387">
        <f t="shared" si="18"/>
        <v>2812.6000000000004</v>
      </c>
      <c r="P146" s="96">
        <v>13000</v>
      </c>
      <c r="Q146" s="95">
        <v>0</v>
      </c>
      <c r="R146" s="602">
        <v>0</v>
      </c>
      <c r="S146" s="179">
        <v>0</v>
      </c>
      <c r="T146" s="605">
        <v>0</v>
      </c>
      <c r="U146" s="577">
        <v>0</v>
      </c>
      <c r="V146" s="602">
        <v>0</v>
      </c>
      <c r="W146" s="602">
        <v>0</v>
      </c>
      <c r="X146" s="179">
        <v>0</v>
      </c>
      <c r="Y146" s="95">
        <v>0</v>
      </c>
      <c r="Z146" s="163" t="s">
        <v>784</v>
      </c>
      <c r="AA146" s="36" t="s">
        <v>5</v>
      </c>
      <c r="AB146" s="381" t="s">
        <v>673</v>
      </c>
      <c r="AC146" s="391" t="s">
        <v>58</v>
      </c>
      <c r="AD146" s="163" t="s">
        <v>66</v>
      </c>
      <c r="AE146" s="36" t="s">
        <v>119</v>
      </c>
      <c r="AF146" s="36" t="s">
        <v>374</v>
      </c>
    </row>
    <row r="147" spans="1:32" ht="31.2" outlineLevel="1" x14ac:dyDescent="0.25">
      <c r="A147" s="216" t="s">
        <v>456</v>
      </c>
      <c r="B147" s="1393" t="s">
        <v>525</v>
      </c>
      <c r="C147" s="1387" t="s">
        <v>457</v>
      </c>
      <c r="D147" s="1394" t="s">
        <v>545</v>
      </c>
      <c r="E147" s="1391" t="s">
        <v>320</v>
      </c>
      <c r="F147" s="1390" t="s">
        <v>320</v>
      </c>
      <c r="G147" s="1392">
        <f>3100-304.9</f>
        <v>2795.1</v>
      </c>
      <c r="H147" s="1195">
        <v>0</v>
      </c>
      <c r="I147" s="1158">
        <v>0</v>
      </c>
      <c r="J147" s="1191">
        <v>2795.1</v>
      </c>
      <c r="K147" s="1192">
        <v>0</v>
      </c>
      <c r="L147" s="1193">
        <f t="shared" si="21"/>
        <v>2795.1</v>
      </c>
      <c r="M147" s="1196">
        <v>3100</v>
      </c>
      <c r="N147" s="335">
        <v>-304.89999999999998</v>
      </c>
      <c r="O147" s="1396">
        <f t="shared" si="18"/>
        <v>2795.1</v>
      </c>
      <c r="P147" s="1194">
        <v>0</v>
      </c>
      <c r="Q147" s="1278">
        <v>0</v>
      </c>
      <c r="R147" s="1271">
        <v>0</v>
      </c>
      <c r="S147" s="1578">
        <v>0</v>
      </c>
      <c r="T147" s="1279">
        <v>0</v>
      </c>
      <c r="U147" s="1269">
        <v>0</v>
      </c>
      <c r="V147" s="1271">
        <v>0</v>
      </c>
      <c r="W147" s="1271">
        <v>0</v>
      </c>
      <c r="X147" s="1578">
        <v>0</v>
      </c>
      <c r="Y147" s="1278">
        <v>0</v>
      </c>
      <c r="Z147" s="1468" t="s">
        <v>969</v>
      </c>
      <c r="AA147" s="1333" t="s">
        <v>62</v>
      </c>
      <c r="AB147" s="1504" t="s">
        <v>330</v>
      </c>
      <c r="AC147" s="1583" t="s">
        <v>59</v>
      </c>
      <c r="AD147" s="1468">
        <v>1</v>
      </c>
      <c r="AE147" s="1390" t="s">
        <v>119</v>
      </c>
      <c r="AF147" s="1390" t="s">
        <v>374</v>
      </c>
    </row>
    <row r="148" spans="1:32" ht="26.4" outlineLevel="1" x14ac:dyDescent="0.25">
      <c r="A148" s="216" t="s">
        <v>458</v>
      </c>
      <c r="B148" s="1393" t="s">
        <v>686</v>
      </c>
      <c r="C148" s="1387" t="s">
        <v>689</v>
      </c>
      <c r="D148" s="1390" t="s">
        <v>782</v>
      </c>
      <c r="E148" s="1391" t="s">
        <v>459</v>
      </c>
      <c r="F148" s="1390" t="s">
        <v>459</v>
      </c>
      <c r="G148" s="1392">
        <v>1880.34</v>
      </c>
      <c r="H148" s="1195">
        <v>0</v>
      </c>
      <c r="I148" s="1158">
        <v>0</v>
      </c>
      <c r="J148" s="1191">
        <v>1880.34</v>
      </c>
      <c r="K148" s="1192">
        <v>0</v>
      </c>
      <c r="L148" s="1193">
        <f t="shared" si="21"/>
        <v>1880.34</v>
      </c>
      <c r="M148" s="1194">
        <v>2000</v>
      </c>
      <c r="N148" s="740">
        <v>-119.66</v>
      </c>
      <c r="O148" s="1396">
        <f t="shared" si="18"/>
        <v>1880.34</v>
      </c>
      <c r="P148" s="1194">
        <v>0</v>
      </c>
      <c r="Q148" s="1278">
        <v>0</v>
      </c>
      <c r="R148" s="1271">
        <v>0</v>
      </c>
      <c r="S148" s="1578">
        <v>0</v>
      </c>
      <c r="T148" s="1279">
        <v>0</v>
      </c>
      <c r="U148" s="1269">
        <v>0</v>
      </c>
      <c r="V148" s="1271">
        <v>0</v>
      </c>
      <c r="W148" s="1271">
        <v>0</v>
      </c>
      <c r="X148" s="1578">
        <v>0</v>
      </c>
      <c r="Y148" s="1278">
        <v>0</v>
      </c>
      <c r="Z148" s="1468" t="s">
        <v>970</v>
      </c>
      <c r="AA148" s="1581" t="s">
        <v>62</v>
      </c>
      <c r="AB148" s="1583" t="s">
        <v>330</v>
      </c>
      <c r="AC148" s="1583" t="s">
        <v>59</v>
      </c>
      <c r="AD148" s="1468">
        <v>1</v>
      </c>
      <c r="AE148" s="1390" t="s">
        <v>124</v>
      </c>
      <c r="AF148" s="1390" t="s">
        <v>374</v>
      </c>
    </row>
    <row r="149" spans="1:32" ht="26.4" outlineLevel="1" x14ac:dyDescent="0.25">
      <c r="A149" s="216" t="s">
        <v>460</v>
      </c>
      <c r="B149" s="1393" t="s">
        <v>526</v>
      </c>
      <c r="C149" s="1387" t="s">
        <v>461</v>
      </c>
      <c r="D149" s="1394" t="s">
        <v>545</v>
      </c>
      <c r="E149" s="1391" t="s">
        <v>19</v>
      </c>
      <c r="F149" s="1391" t="s">
        <v>19</v>
      </c>
      <c r="G149" s="1392">
        <f>1700-372.938</f>
        <v>1327.0619999999999</v>
      </c>
      <c r="H149" s="1195">
        <v>0</v>
      </c>
      <c r="I149" s="1158">
        <v>0</v>
      </c>
      <c r="J149" s="1191">
        <v>1327.0619999999999</v>
      </c>
      <c r="K149" s="1192">
        <v>0</v>
      </c>
      <c r="L149" s="1193">
        <f t="shared" si="21"/>
        <v>1327.0619999999999</v>
      </c>
      <c r="M149" s="1196">
        <v>1700</v>
      </c>
      <c r="N149" s="335">
        <v>-372.93799999999999</v>
      </c>
      <c r="O149" s="1396">
        <f t="shared" si="18"/>
        <v>1327.0619999999999</v>
      </c>
      <c r="P149" s="1194">
        <v>0</v>
      </c>
      <c r="Q149" s="1278">
        <v>0</v>
      </c>
      <c r="R149" s="1271">
        <v>0</v>
      </c>
      <c r="S149" s="1578">
        <v>0</v>
      </c>
      <c r="T149" s="1279">
        <v>0</v>
      </c>
      <c r="U149" s="1269">
        <v>0</v>
      </c>
      <c r="V149" s="1271">
        <v>0</v>
      </c>
      <c r="W149" s="1271">
        <v>0</v>
      </c>
      <c r="X149" s="1578">
        <v>0</v>
      </c>
      <c r="Y149" s="1278">
        <v>0</v>
      </c>
      <c r="Z149" s="1468" t="s">
        <v>971</v>
      </c>
      <c r="AA149" s="1390" t="s">
        <v>62</v>
      </c>
      <c r="AB149" s="1504" t="s">
        <v>330</v>
      </c>
      <c r="AC149" s="1583" t="s">
        <v>59</v>
      </c>
      <c r="AD149" s="1468">
        <v>1</v>
      </c>
      <c r="AE149" s="1390" t="s">
        <v>123</v>
      </c>
      <c r="AF149" s="1390" t="s">
        <v>374</v>
      </c>
    </row>
    <row r="150" spans="1:32" ht="31.2" outlineLevel="1" x14ac:dyDescent="0.25">
      <c r="A150" s="371" t="s">
        <v>527</v>
      </c>
      <c r="B150" s="715" t="s">
        <v>660</v>
      </c>
      <c r="C150" s="611" t="s">
        <v>528</v>
      </c>
      <c r="D150" s="35" t="s">
        <v>579</v>
      </c>
      <c r="E150" s="47" t="s">
        <v>529</v>
      </c>
      <c r="F150" s="47" t="s">
        <v>529</v>
      </c>
      <c r="G150" s="547">
        <v>3000</v>
      </c>
      <c r="H150" s="155">
        <v>0</v>
      </c>
      <c r="I150" s="378">
        <v>0</v>
      </c>
      <c r="J150" s="709">
        <v>0</v>
      </c>
      <c r="K150" s="379">
        <v>0</v>
      </c>
      <c r="L150" s="579">
        <f t="shared" si="21"/>
        <v>100</v>
      </c>
      <c r="M150" s="612">
        <v>3000</v>
      </c>
      <c r="N150" s="731">
        <v>-2900</v>
      </c>
      <c r="O150" s="547">
        <f t="shared" si="18"/>
        <v>100</v>
      </c>
      <c r="P150" s="130">
        <v>2900</v>
      </c>
      <c r="Q150" s="380">
        <v>0</v>
      </c>
      <c r="R150" s="379">
        <v>0</v>
      </c>
      <c r="S150" s="741">
        <v>0</v>
      </c>
      <c r="T150" s="336">
        <v>0</v>
      </c>
      <c r="U150" s="378">
        <v>0</v>
      </c>
      <c r="V150" s="379">
        <v>0</v>
      </c>
      <c r="W150" s="379">
        <v>0</v>
      </c>
      <c r="X150" s="741">
        <v>0</v>
      </c>
      <c r="Y150" s="380">
        <v>0</v>
      </c>
      <c r="Z150" s="156" t="s">
        <v>972</v>
      </c>
      <c r="AA150" s="35" t="s">
        <v>7</v>
      </c>
      <c r="AB150" s="381" t="s">
        <v>673</v>
      </c>
      <c r="AC150" s="381" t="s">
        <v>58</v>
      </c>
      <c r="AD150" s="156" t="s">
        <v>66</v>
      </c>
      <c r="AE150" s="35" t="s">
        <v>126</v>
      </c>
      <c r="AF150" s="35" t="s">
        <v>374</v>
      </c>
    </row>
    <row r="151" spans="1:32" ht="26.4" outlineLevel="1" x14ac:dyDescent="0.25">
      <c r="A151" s="216" t="s">
        <v>531</v>
      </c>
      <c r="B151" s="1393" t="s">
        <v>629</v>
      </c>
      <c r="C151" s="1387" t="s">
        <v>532</v>
      </c>
      <c r="D151" s="1390" t="s">
        <v>579</v>
      </c>
      <c r="E151" s="1391" t="s">
        <v>533</v>
      </c>
      <c r="F151" s="1391" t="s">
        <v>533</v>
      </c>
      <c r="G151" s="1396">
        <v>2933.6444999999999</v>
      </c>
      <c r="H151" s="1195">
        <v>0</v>
      </c>
      <c r="I151" s="1158">
        <v>1418.55124</v>
      </c>
      <c r="J151" s="1191">
        <v>1515.0932600000001</v>
      </c>
      <c r="K151" s="1192">
        <v>1418.55124</v>
      </c>
      <c r="L151" s="1193">
        <f t="shared" si="21"/>
        <v>1515.0932599999999</v>
      </c>
      <c r="M151" s="1194">
        <v>3000</v>
      </c>
      <c r="N151" s="740">
        <v>-66.355500000000006</v>
      </c>
      <c r="O151" s="1396">
        <f t="shared" si="18"/>
        <v>2933.6444999999999</v>
      </c>
      <c r="P151" s="1160">
        <v>0</v>
      </c>
      <c r="Q151" s="1584">
        <v>0</v>
      </c>
      <c r="R151" s="1192">
        <v>0</v>
      </c>
      <c r="S151" s="1538">
        <v>0</v>
      </c>
      <c r="T151" s="1159">
        <v>0</v>
      </c>
      <c r="U151" s="1158">
        <v>0</v>
      </c>
      <c r="V151" s="1192">
        <v>0</v>
      </c>
      <c r="W151" s="1192">
        <v>0</v>
      </c>
      <c r="X151" s="1538">
        <v>0</v>
      </c>
      <c r="Y151" s="1584">
        <v>0</v>
      </c>
      <c r="Z151" s="1468" t="s">
        <v>973</v>
      </c>
      <c r="AA151" s="1581" t="s">
        <v>62</v>
      </c>
      <c r="AB151" s="1583" t="s">
        <v>330</v>
      </c>
      <c r="AC151" s="1583" t="s">
        <v>59</v>
      </c>
      <c r="AD151" s="1468" t="s">
        <v>67</v>
      </c>
      <c r="AE151" s="1390" t="s">
        <v>130</v>
      </c>
      <c r="AF151" s="1390" t="s">
        <v>374</v>
      </c>
    </row>
    <row r="152" spans="1:32" ht="27" outlineLevel="1" thickBot="1" x14ac:dyDescent="0.3">
      <c r="A152" s="477" t="s">
        <v>633</v>
      </c>
      <c r="B152" s="477" t="s">
        <v>716</v>
      </c>
      <c r="C152" s="588" t="s">
        <v>634</v>
      </c>
      <c r="D152" s="51" t="s">
        <v>664</v>
      </c>
      <c r="E152" s="64" t="s">
        <v>45</v>
      </c>
      <c r="F152" s="51" t="s">
        <v>45</v>
      </c>
      <c r="G152" s="106">
        <v>3500</v>
      </c>
      <c r="H152" s="597">
        <v>0</v>
      </c>
      <c r="I152" s="595">
        <v>0</v>
      </c>
      <c r="J152" s="713">
        <v>0</v>
      </c>
      <c r="K152" s="593">
        <v>0</v>
      </c>
      <c r="L152" s="594">
        <f t="shared" si="21"/>
        <v>1180</v>
      </c>
      <c r="M152" s="638">
        <v>3500</v>
      </c>
      <c r="N152" s="106">
        <v>-2320</v>
      </c>
      <c r="O152" s="106">
        <f t="shared" ref="O152:O159" si="22">M152+N152</f>
        <v>1180</v>
      </c>
      <c r="P152" s="597">
        <v>2320</v>
      </c>
      <c r="Q152" s="597">
        <v>0</v>
      </c>
      <c r="R152" s="595">
        <v>0</v>
      </c>
      <c r="S152" s="742">
        <v>0</v>
      </c>
      <c r="T152" s="713">
        <v>0</v>
      </c>
      <c r="U152" s="593">
        <v>0</v>
      </c>
      <c r="V152" s="593">
        <v>0</v>
      </c>
      <c r="W152" s="593">
        <v>0</v>
      </c>
      <c r="X152" s="742">
        <v>0</v>
      </c>
      <c r="Y152" s="714">
        <v>0</v>
      </c>
      <c r="Z152" s="140" t="s">
        <v>974</v>
      </c>
      <c r="AA152" s="51" t="s">
        <v>9</v>
      </c>
      <c r="AB152" s="107" t="s">
        <v>673</v>
      </c>
      <c r="AC152" s="486" t="s">
        <v>59</v>
      </c>
      <c r="AD152" s="140">
        <v>1</v>
      </c>
      <c r="AE152" s="51" t="s">
        <v>132</v>
      </c>
      <c r="AF152" s="51" t="s">
        <v>374</v>
      </c>
    </row>
    <row r="153" spans="1:32" ht="26.4" outlineLevel="1" x14ac:dyDescent="0.25">
      <c r="A153" s="382" t="s">
        <v>690</v>
      </c>
      <c r="B153" s="382" t="s">
        <v>785</v>
      </c>
      <c r="C153" s="609" t="s">
        <v>691</v>
      </c>
      <c r="D153" s="35" t="s">
        <v>782</v>
      </c>
      <c r="E153" s="28" t="s">
        <v>80</v>
      </c>
      <c r="F153" s="36" t="s">
        <v>80</v>
      </c>
      <c r="G153" s="390">
        <v>7509.2400200000002</v>
      </c>
      <c r="H153" s="385">
        <v>0</v>
      </c>
      <c r="I153" s="388">
        <v>1252.61428</v>
      </c>
      <c r="J153" s="719">
        <v>0</v>
      </c>
      <c r="K153" s="389">
        <v>1252.61428</v>
      </c>
      <c r="L153" s="579">
        <f t="shared" si="21"/>
        <v>0</v>
      </c>
      <c r="M153" s="96">
        <v>4211.4417400000002</v>
      </c>
      <c r="N153" s="731">
        <v>-2958.82746</v>
      </c>
      <c r="O153" s="387">
        <f t="shared" si="22"/>
        <v>1252.6142800000002</v>
      </c>
      <c r="P153" s="390">
        <v>2958.82746</v>
      </c>
      <c r="Q153" s="390">
        <v>0</v>
      </c>
      <c r="R153" s="388">
        <v>3297.79828</v>
      </c>
      <c r="S153" s="743">
        <v>0</v>
      </c>
      <c r="T153" s="719">
        <v>0</v>
      </c>
      <c r="U153" s="720">
        <v>0</v>
      </c>
      <c r="V153" s="743">
        <v>0</v>
      </c>
      <c r="W153" s="389">
        <v>0</v>
      </c>
      <c r="X153" s="720">
        <v>0</v>
      </c>
      <c r="Y153" s="719">
        <v>0</v>
      </c>
      <c r="Z153" s="65" t="s">
        <v>972</v>
      </c>
      <c r="AA153" s="36" t="s">
        <v>9</v>
      </c>
      <c r="AB153" s="109" t="s">
        <v>673</v>
      </c>
      <c r="AC153" s="44" t="s">
        <v>59</v>
      </c>
      <c r="AD153" s="163">
        <v>2</v>
      </c>
      <c r="AE153" s="36" t="s">
        <v>119</v>
      </c>
      <c r="AF153" s="36" t="s">
        <v>374</v>
      </c>
    </row>
    <row r="154" spans="1:32" ht="27" outlineLevel="1" thickBot="1" x14ac:dyDescent="0.3">
      <c r="A154" s="477" t="s">
        <v>783</v>
      </c>
      <c r="B154" s="477" t="s">
        <v>829</v>
      </c>
      <c r="C154" s="588" t="s">
        <v>695</v>
      </c>
      <c r="D154" s="51" t="s">
        <v>782</v>
      </c>
      <c r="E154" s="64" t="s">
        <v>696</v>
      </c>
      <c r="F154" s="51" t="s">
        <v>696</v>
      </c>
      <c r="G154" s="106">
        <v>650</v>
      </c>
      <c r="H154" s="597">
        <v>0</v>
      </c>
      <c r="I154" s="595">
        <v>0</v>
      </c>
      <c r="J154" s="713">
        <v>0</v>
      </c>
      <c r="K154" s="593">
        <v>0</v>
      </c>
      <c r="L154" s="594">
        <f t="shared" si="21"/>
        <v>150</v>
      </c>
      <c r="M154" s="638">
        <v>650</v>
      </c>
      <c r="N154" s="106">
        <v>-500</v>
      </c>
      <c r="O154" s="106">
        <f t="shared" si="22"/>
        <v>150</v>
      </c>
      <c r="P154" s="597">
        <v>500</v>
      </c>
      <c r="Q154" s="597">
        <v>0</v>
      </c>
      <c r="R154" s="595">
        <v>0</v>
      </c>
      <c r="S154" s="742">
        <v>0</v>
      </c>
      <c r="T154" s="713">
        <v>0</v>
      </c>
      <c r="U154" s="595">
        <v>0</v>
      </c>
      <c r="V154" s="593">
        <v>0</v>
      </c>
      <c r="W154" s="593">
        <v>0</v>
      </c>
      <c r="X154" s="742">
        <v>0</v>
      </c>
      <c r="Y154" s="596">
        <v>0</v>
      </c>
      <c r="Z154" s="140" t="s">
        <v>975</v>
      </c>
      <c r="AA154" s="51" t="s">
        <v>7</v>
      </c>
      <c r="AB154" s="107" t="s">
        <v>673</v>
      </c>
      <c r="AC154" s="107" t="s">
        <v>58</v>
      </c>
      <c r="AD154" s="140" t="s">
        <v>66</v>
      </c>
      <c r="AE154" s="51" t="s">
        <v>126</v>
      </c>
      <c r="AF154" s="51" t="s">
        <v>374</v>
      </c>
    </row>
    <row r="155" spans="1:32" ht="26.4" outlineLevel="1" x14ac:dyDescent="0.25">
      <c r="A155" s="371" t="s">
        <v>694</v>
      </c>
      <c r="B155" s="371" t="s">
        <v>54</v>
      </c>
      <c r="C155" s="611" t="s">
        <v>786</v>
      </c>
      <c r="D155" s="35" t="s">
        <v>826</v>
      </c>
      <c r="E155" s="47" t="s">
        <v>787</v>
      </c>
      <c r="F155" s="35" t="s">
        <v>787</v>
      </c>
      <c r="G155" s="547">
        <v>2000</v>
      </c>
      <c r="H155" s="155">
        <v>0</v>
      </c>
      <c r="I155" s="378">
        <v>0</v>
      </c>
      <c r="J155" s="709">
        <v>0</v>
      </c>
      <c r="K155" s="379">
        <v>0</v>
      </c>
      <c r="L155" s="572">
        <f t="shared" si="21"/>
        <v>100</v>
      </c>
      <c r="M155" s="612">
        <v>500</v>
      </c>
      <c r="N155" s="731">
        <v>-400</v>
      </c>
      <c r="O155" s="547">
        <f t="shared" si="22"/>
        <v>100</v>
      </c>
      <c r="P155" s="130">
        <v>1900</v>
      </c>
      <c r="Q155" s="380">
        <v>0</v>
      </c>
      <c r="R155" s="378">
        <v>0</v>
      </c>
      <c r="S155" s="741">
        <v>0</v>
      </c>
      <c r="T155" s="380">
        <v>0</v>
      </c>
      <c r="U155" s="378">
        <v>0</v>
      </c>
      <c r="V155" s="379">
        <v>0</v>
      </c>
      <c r="W155" s="379">
        <v>0</v>
      </c>
      <c r="X155" s="741">
        <v>0</v>
      </c>
      <c r="Y155" s="380">
        <v>0</v>
      </c>
      <c r="Z155" s="127" t="s">
        <v>976</v>
      </c>
      <c r="AA155" s="35" t="s">
        <v>7</v>
      </c>
      <c r="AB155" s="381" t="s">
        <v>673</v>
      </c>
      <c r="AC155" s="381" t="s">
        <v>58</v>
      </c>
      <c r="AD155" s="156" t="s">
        <v>66</v>
      </c>
      <c r="AE155" s="35" t="s">
        <v>132</v>
      </c>
      <c r="AF155" s="35" t="s">
        <v>374</v>
      </c>
    </row>
    <row r="156" spans="1:32" ht="27" outlineLevel="1" thickBot="1" x14ac:dyDescent="0.3">
      <c r="A156" s="477" t="s">
        <v>788</v>
      </c>
      <c r="B156" s="477" t="s">
        <v>54</v>
      </c>
      <c r="C156" s="588" t="s">
        <v>789</v>
      </c>
      <c r="D156" s="51" t="s">
        <v>826</v>
      </c>
      <c r="E156" s="64" t="s">
        <v>4</v>
      </c>
      <c r="F156" s="51" t="s">
        <v>790</v>
      </c>
      <c r="G156" s="106">
        <v>490000</v>
      </c>
      <c r="H156" s="739">
        <v>0</v>
      </c>
      <c r="I156" s="595">
        <v>0</v>
      </c>
      <c r="J156" s="713">
        <v>0</v>
      </c>
      <c r="K156" s="593">
        <v>0</v>
      </c>
      <c r="L156" s="594">
        <f t="shared" si="21"/>
        <v>1000</v>
      </c>
      <c r="M156" s="638">
        <v>6000</v>
      </c>
      <c r="N156" s="106">
        <v>-5000</v>
      </c>
      <c r="O156" s="106">
        <f t="shared" si="22"/>
        <v>1000</v>
      </c>
      <c r="P156" s="597">
        <v>489000</v>
      </c>
      <c r="Q156" s="596">
        <v>0</v>
      </c>
      <c r="R156" s="595">
        <v>0</v>
      </c>
      <c r="S156" s="742">
        <v>0</v>
      </c>
      <c r="T156" s="596">
        <v>0</v>
      </c>
      <c r="U156" s="595">
        <v>0</v>
      </c>
      <c r="V156" s="593">
        <v>0</v>
      </c>
      <c r="W156" s="593">
        <v>0</v>
      </c>
      <c r="X156" s="742">
        <v>0</v>
      </c>
      <c r="Y156" s="596">
        <v>0</v>
      </c>
      <c r="Z156" s="164" t="s">
        <v>965</v>
      </c>
      <c r="AA156" s="51" t="s">
        <v>7</v>
      </c>
      <c r="AB156" s="486" t="s">
        <v>673</v>
      </c>
      <c r="AC156" s="486" t="s">
        <v>58</v>
      </c>
      <c r="AD156" s="140" t="s">
        <v>66</v>
      </c>
      <c r="AE156" s="51" t="s">
        <v>120</v>
      </c>
      <c r="AF156" s="51" t="s">
        <v>374</v>
      </c>
    </row>
    <row r="157" spans="1:32" ht="26.4" outlineLevel="1" x14ac:dyDescent="0.25">
      <c r="A157" s="371" t="s">
        <v>830</v>
      </c>
      <c r="B157" s="371" t="s">
        <v>54</v>
      </c>
      <c r="C157" s="611" t="s">
        <v>977</v>
      </c>
      <c r="D157" s="35" t="s">
        <v>866</v>
      </c>
      <c r="E157" s="47" t="s">
        <v>20</v>
      </c>
      <c r="F157" s="35" t="s">
        <v>20</v>
      </c>
      <c r="G157" s="547">
        <v>1500</v>
      </c>
      <c r="H157" s="155">
        <v>0</v>
      </c>
      <c r="I157" s="378">
        <v>0</v>
      </c>
      <c r="J157" s="709">
        <v>0</v>
      </c>
      <c r="K157" s="379">
        <v>0</v>
      </c>
      <c r="L157" s="572">
        <f t="shared" si="21"/>
        <v>300</v>
      </c>
      <c r="M157" s="612">
        <v>500</v>
      </c>
      <c r="N157" s="377">
        <v>-200</v>
      </c>
      <c r="O157" s="547">
        <f t="shared" si="22"/>
        <v>300</v>
      </c>
      <c r="P157" s="130">
        <v>1200</v>
      </c>
      <c r="Q157" s="380">
        <v>0</v>
      </c>
      <c r="R157" s="378">
        <v>0</v>
      </c>
      <c r="S157" s="741">
        <v>0</v>
      </c>
      <c r="T157" s="380">
        <v>0</v>
      </c>
      <c r="U157" s="378">
        <v>0</v>
      </c>
      <c r="V157" s="379">
        <v>0</v>
      </c>
      <c r="W157" s="379">
        <v>0</v>
      </c>
      <c r="X157" s="741">
        <v>0</v>
      </c>
      <c r="Y157" s="380">
        <v>0</v>
      </c>
      <c r="Z157" s="127" t="s">
        <v>978</v>
      </c>
      <c r="AA157" s="35" t="s">
        <v>7</v>
      </c>
      <c r="AB157" s="109" t="s">
        <v>673</v>
      </c>
      <c r="AC157" s="381" t="s">
        <v>58</v>
      </c>
      <c r="AD157" s="156" t="s">
        <v>66</v>
      </c>
      <c r="AE157" s="35" t="s">
        <v>138</v>
      </c>
      <c r="AF157" s="35" t="s">
        <v>374</v>
      </c>
    </row>
    <row r="158" spans="1:32" ht="31.2" outlineLevel="1" x14ac:dyDescent="0.25">
      <c r="A158" s="382" t="s">
        <v>831</v>
      </c>
      <c r="B158" s="382" t="s">
        <v>54</v>
      </c>
      <c r="C158" s="609" t="s">
        <v>832</v>
      </c>
      <c r="D158" s="35" t="s">
        <v>866</v>
      </c>
      <c r="E158" s="28" t="s">
        <v>833</v>
      </c>
      <c r="F158" s="36" t="s">
        <v>833</v>
      </c>
      <c r="G158" s="387">
        <v>4000</v>
      </c>
      <c r="H158" s="718">
        <v>0</v>
      </c>
      <c r="I158" s="388">
        <v>0</v>
      </c>
      <c r="J158" s="719">
        <v>0</v>
      </c>
      <c r="K158" s="389">
        <v>0</v>
      </c>
      <c r="L158" s="579">
        <f t="shared" si="21"/>
        <v>1000</v>
      </c>
      <c r="M158" s="96">
        <v>2000</v>
      </c>
      <c r="N158" s="386">
        <v>-1000</v>
      </c>
      <c r="O158" s="387">
        <f t="shared" si="22"/>
        <v>1000</v>
      </c>
      <c r="P158" s="385">
        <v>2000</v>
      </c>
      <c r="Q158" s="390">
        <v>0</v>
      </c>
      <c r="R158" s="388">
        <v>0</v>
      </c>
      <c r="S158" s="743">
        <v>0</v>
      </c>
      <c r="T158" s="390">
        <v>1000</v>
      </c>
      <c r="U158" s="388">
        <v>0</v>
      </c>
      <c r="V158" s="389">
        <v>0</v>
      </c>
      <c r="W158" s="389">
        <v>0</v>
      </c>
      <c r="X158" s="743">
        <v>0</v>
      </c>
      <c r="Y158" s="390">
        <v>0</v>
      </c>
      <c r="Z158" s="65" t="s">
        <v>784</v>
      </c>
      <c r="AA158" s="36" t="s">
        <v>7</v>
      </c>
      <c r="AB158" s="109" t="s">
        <v>673</v>
      </c>
      <c r="AC158" s="391" t="s">
        <v>58</v>
      </c>
      <c r="AD158" s="163" t="s">
        <v>66</v>
      </c>
      <c r="AE158" s="36" t="s">
        <v>138</v>
      </c>
      <c r="AF158" s="36" t="s">
        <v>374</v>
      </c>
    </row>
    <row r="159" spans="1:32" ht="31.8" outlineLevel="1" thickBot="1" x14ac:dyDescent="0.3">
      <c r="A159" s="263" t="s">
        <v>834</v>
      </c>
      <c r="B159" s="263" t="s">
        <v>54</v>
      </c>
      <c r="C159" s="777" t="s">
        <v>835</v>
      </c>
      <c r="D159" s="170" t="s">
        <v>866</v>
      </c>
      <c r="E159" s="146" t="s">
        <v>450</v>
      </c>
      <c r="F159" s="170" t="s">
        <v>450</v>
      </c>
      <c r="G159" s="269">
        <f>5000-5000</f>
        <v>0</v>
      </c>
      <c r="H159" s="318">
        <v>0</v>
      </c>
      <c r="I159" s="265">
        <v>0</v>
      </c>
      <c r="J159" s="321">
        <v>0</v>
      </c>
      <c r="K159" s="317">
        <v>0</v>
      </c>
      <c r="L159" s="368">
        <f t="shared" si="21"/>
        <v>0</v>
      </c>
      <c r="M159" s="778">
        <v>500</v>
      </c>
      <c r="N159" s="268">
        <v>-500</v>
      </c>
      <c r="O159" s="269">
        <f t="shared" si="22"/>
        <v>0</v>
      </c>
      <c r="P159" s="267">
        <f>4500-4500</f>
        <v>0</v>
      </c>
      <c r="Q159" s="319">
        <v>0</v>
      </c>
      <c r="R159" s="265">
        <v>0</v>
      </c>
      <c r="S159" s="266">
        <v>0</v>
      </c>
      <c r="T159" s="319">
        <v>0</v>
      </c>
      <c r="U159" s="265">
        <v>0</v>
      </c>
      <c r="V159" s="317">
        <v>0</v>
      </c>
      <c r="W159" s="317">
        <v>0</v>
      </c>
      <c r="X159" s="266">
        <v>0</v>
      </c>
      <c r="Y159" s="319">
        <v>0</v>
      </c>
      <c r="Z159" s="1078" t="s">
        <v>989</v>
      </c>
      <c r="AA159" s="170" t="s">
        <v>60</v>
      </c>
      <c r="AB159" s="320" t="s">
        <v>330</v>
      </c>
      <c r="AC159" s="320" t="s">
        <v>58</v>
      </c>
      <c r="AD159" s="298">
        <v>3</v>
      </c>
      <c r="AE159" s="170" t="s">
        <v>132</v>
      </c>
      <c r="AF159" s="170" t="s">
        <v>374</v>
      </c>
    </row>
    <row r="160" spans="1:32" ht="31.2" outlineLevel="1" x14ac:dyDescent="0.25">
      <c r="A160" s="644" t="s">
        <v>692</v>
      </c>
      <c r="B160" s="744" t="s">
        <v>54</v>
      </c>
      <c r="C160" s="745" t="s">
        <v>979</v>
      </c>
      <c r="D160" s="113" t="s">
        <v>54</v>
      </c>
      <c r="E160" s="746" t="s">
        <v>980</v>
      </c>
      <c r="F160" s="746" t="s">
        <v>980</v>
      </c>
      <c r="G160" s="747">
        <v>1000</v>
      </c>
      <c r="H160" s="748">
        <v>0</v>
      </c>
      <c r="I160" s="749">
        <v>0</v>
      </c>
      <c r="J160" s="750">
        <v>0</v>
      </c>
      <c r="K160" s="751">
        <v>0</v>
      </c>
      <c r="L160" s="431">
        <f t="shared" si="21"/>
        <v>0</v>
      </c>
      <c r="M160" s="752">
        <v>0</v>
      </c>
      <c r="N160" s="753">
        <v>0</v>
      </c>
      <c r="O160" s="427">
        <f>M160+N160</f>
        <v>0</v>
      </c>
      <c r="P160" s="754">
        <v>1000</v>
      </c>
      <c r="Q160" s="755">
        <v>0</v>
      </c>
      <c r="R160" s="749">
        <v>0</v>
      </c>
      <c r="S160" s="756">
        <v>0</v>
      </c>
      <c r="T160" s="755">
        <v>0</v>
      </c>
      <c r="U160" s="749">
        <v>0</v>
      </c>
      <c r="V160" s="751">
        <v>0</v>
      </c>
      <c r="W160" s="751">
        <v>0</v>
      </c>
      <c r="X160" s="756">
        <v>0</v>
      </c>
      <c r="Y160" s="755">
        <v>0</v>
      </c>
      <c r="Z160" s="1738" t="s">
        <v>990</v>
      </c>
      <c r="AA160" s="29" t="s">
        <v>7</v>
      </c>
      <c r="AB160" s="1739" t="s">
        <v>673</v>
      </c>
      <c r="AC160" s="758" t="s">
        <v>58</v>
      </c>
      <c r="AD160" s="757">
        <v>3</v>
      </c>
      <c r="AE160" s="759" t="s">
        <v>125</v>
      </c>
      <c r="AF160" s="759" t="s">
        <v>374</v>
      </c>
    </row>
    <row r="161" spans="1:32" ht="31.2" outlineLevel="1" x14ac:dyDescent="0.25">
      <c r="A161" s="654" t="s">
        <v>693</v>
      </c>
      <c r="B161" s="760" t="s">
        <v>54</v>
      </c>
      <c r="C161" s="761" t="s">
        <v>981</v>
      </c>
      <c r="D161" s="113" t="s">
        <v>54</v>
      </c>
      <c r="E161" s="762" t="s">
        <v>980</v>
      </c>
      <c r="F161" s="762" t="s">
        <v>980</v>
      </c>
      <c r="G161" s="763">
        <v>500</v>
      </c>
      <c r="H161" s="764">
        <v>0</v>
      </c>
      <c r="I161" s="765">
        <v>0</v>
      </c>
      <c r="J161" s="766">
        <v>0</v>
      </c>
      <c r="K161" s="767">
        <v>0</v>
      </c>
      <c r="L161" s="443">
        <f t="shared" ref="L161:L165" si="23">O161-K161</f>
        <v>0</v>
      </c>
      <c r="M161" s="768">
        <v>0</v>
      </c>
      <c r="N161" s="769">
        <v>0</v>
      </c>
      <c r="O161" s="438">
        <f t="shared" ref="O161:O165" si="24">M161+N161</f>
        <v>0</v>
      </c>
      <c r="P161" s="770">
        <v>500</v>
      </c>
      <c r="Q161" s="771">
        <v>0</v>
      </c>
      <c r="R161" s="765">
        <v>0</v>
      </c>
      <c r="S161" s="772">
        <v>0</v>
      </c>
      <c r="T161" s="771">
        <v>0</v>
      </c>
      <c r="U161" s="765">
        <v>0</v>
      </c>
      <c r="V161" s="767">
        <v>0</v>
      </c>
      <c r="W161" s="767">
        <v>0</v>
      </c>
      <c r="X161" s="772">
        <v>0</v>
      </c>
      <c r="Y161" s="771">
        <v>0</v>
      </c>
      <c r="Z161" s="1740" t="s">
        <v>991</v>
      </c>
      <c r="AA161" s="27" t="s">
        <v>7</v>
      </c>
      <c r="AB161" s="1741" t="s">
        <v>673</v>
      </c>
      <c r="AC161" s="774" t="s">
        <v>58</v>
      </c>
      <c r="AD161" s="773">
        <v>3</v>
      </c>
      <c r="AE161" s="775" t="s">
        <v>125</v>
      </c>
      <c r="AF161" s="775" t="s">
        <v>374</v>
      </c>
    </row>
    <row r="162" spans="1:32" ht="31.2" outlineLevel="1" x14ac:dyDescent="0.25">
      <c r="A162" s="654" t="s">
        <v>783</v>
      </c>
      <c r="B162" s="760" t="s">
        <v>54</v>
      </c>
      <c r="C162" s="761" t="s">
        <v>982</v>
      </c>
      <c r="D162" s="113" t="s">
        <v>54</v>
      </c>
      <c r="E162" s="762" t="s">
        <v>983</v>
      </c>
      <c r="F162" s="775" t="s">
        <v>983</v>
      </c>
      <c r="G162" s="763">
        <v>1600</v>
      </c>
      <c r="H162" s="764">
        <v>0</v>
      </c>
      <c r="I162" s="765">
        <v>0</v>
      </c>
      <c r="J162" s="766">
        <v>0</v>
      </c>
      <c r="K162" s="767">
        <v>0</v>
      </c>
      <c r="L162" s="443">
        <f t="shared" si="23"/>
        <v>0</v>
      </c>
      <c r="M162" s="768">
        <v>0</v>
      </c>
      <c r="N162" s="769">
        <v>0</v>
      </c>
      <c r="O162" s="438">
        <f t="shared" si="24"/>
        <v>0</v>
      </c>
      <c r="P162" s="770">
        <v>1600</v>
      </c>
      <c r="Q162" s="440">
        <v>0</v>
      </c>
      <c r="R162" s="439">
        <v>0</v>
      </c>
      <c r="S162" s="444">
        <v>0</v>
      </c>
      <c r="T162" s="440">
        <v>0</v>
      </c>
      <c r="U162" s="439">
        <v>0</v>
      </c>
      <c r="V162" s="442">
        <v>0</v>
      </c>
      <c r="W162" s="442">
        <v>0</v>
      </c>
      <c r="X162" s="444">
        <v>0</v>
      </c>
      <c r="Y162" s="440">
        <v>0</v>
      </c>
      <c r="Z162" s="1740" t="s">
        <v>992</v>
      </c>
      <c r="AA162" s="27" t="s">
        <v>7</v>
      </c>
      <c r="AB162" s="1741" t="s">
        <v>673</v>
      </c>
      <c r="AC162" s="774" t="s">
        <v>58</v>
      </c>
      <c r="AD162" s="773">
        <v>3</v>
      </c>
      <c r="AE162" s="775" t="s">
        <v>340</v>
      </c>
      <c r="AF162" s="775" t="s">
        <v>374</v>
      </c>
    </row>
    <row r="163" spans="1:32" ht="39.6" outlineLevel="1" x14ac:dyDescent="0.25">
      <c r="A163" s="654" t="s">
        <v>694</v>
      </c>
      <c r="B163" s="760" t="s">
        <v>54</v>
      </c>
      <c r="C163" s="761" t="s">
        <v>984</v>
      </c>
      <c r="D163" s="113" t="s">
        <v>54</v>
      </c>
      <c r="E163" s="762" t="s">
        <v>985</v>
      </c>
      <c r="F163" s="762" t="s">
        <v>985</v>
      </c>
      <c r="G163" s="763">
        <v>500</v>
      </c>
      <c r="H163" s="764">
        <v>0</v>
      </c>
      <c r="I163" s="765">
        <v>0</v>
      </c>
      <c r="J163" s="766">
        <v>0</v>
      </c>
      <c r="K163" s="767">
        <v>0</v>
      </c>
      <c r="L163" s="443">
        <f t="shared" si="23"/>
        <v>0</v>
      </c>
      <c r="M163" s="768">
        <v>0</v>
      </c>
      <c r="N163" s="769">
        <v>0</v>
      </c>
      <c r="O163" s="438">
        <f t="shared" si="24"/>
        <v>0</v>
      </c>
      <c r="P163" s="770">
        <v>500</v>
      </c>
      <c r="Q163" s="440">
        <v>0</v>
      </c>
      <c r="R163" s="439">
        <v>0</v>
      </c>
      <c r="S163" s="444">
        <v>0</v>
      </c>
      <c r="T163" s="440">
        <v>0</v>
      </c>
      <c r="U163" s="439">
        <v>0</v>
      </c>
      <c r="V163" s="442">
        <v>0</v>
      </c>
      <c r="W163" s="442">
        <v>0</v>
      </c>
      <c r="X163" s="444">
        <v>0</v>
      </c>
      <c r="Y163" s="440">
        <v>0</v>
      </c>
      <c r="Z163" s="1740" t="s">
        <v>993</v>
      </c>
      <c r="AA163" s="27" t="s">
        <v>7</v>
      </c>
      <c r="AB163" s="1741" t="s">
        <v>673</v>
      </c>
      <c r="AC163" s="774" t="s">
        <v>58</v>
      </c>
      <c r="AD163" s="773">
        <v>3</v>
      </c>
      <c r="AE163" s="775" t="s">
        <v>165</v>
      </c>
      <c r="AF163" s="775" t="s">
        <v>374</v>
      </c>
    </row>
    <row r="164" spans="1:32" ht="31.2" outlineLevel="1" x14ac:dyDescent="0.25">
      <c r="A164" s="654" t="s">
        <v>788</v>
      </c>
      <c r="B164" s="760" t="s">
        <v>54</v>
      </c>
      <c r="C164" s="761" t="s">
        <v>986</v>
      </c>
      <c r="D164" s="113" t="s">
        <v>54</v>
      </c>
      <c r="E164" s="762" t="s">
        <v>530</v>
      </c>
      <c r="F164" s="762" t="s">
        <v>530</v>
      </c>
      <c r="G164" s="763">
        <v>5000</v>
      </c>
      <c r="H164" s="764">
        <v>0</v>
      </c>
      <c r="I164" s="765">
        <v>0</v>
      </c>
      <c r="J164" s="766">
        <v>0</v>
      </c>
      <c r="K164" s="767">
        <v>0</v>
      </c>
      <c r="L164" s="443">
        <f t="shared" si="23"/>
        <v>0</v>
      </c>
      <c r="M164" s="768">
        <v>0</v>
      </c>
      <c r="N164" s="769">
        <v>0</v>
      </c>
      <c r="O164" s="438">
        <f t="shared" si="24"/>
        <v>0</v>
      </c>
      <c r="P164" s="770">
        <v>5000</v>
      </c>
      <c r="Q164" s="440">
        <v>0</v>
      </c>
      <c r="R164" s="439">
        <v>0</v>
      </c>
      <c r="S164" s="444">
        <v>0</v>
      </c>
      <c r="T164" s="440">
        <v>0</v>
      </c>
      <c r="U164" s="439">
        <v>0</v>
      </c>
      <c r="V164" s="442">
        <v>0</v>
      </c>
      <c r="W164" s="442">
        <v>0</v>
      </c>
      <c r="X164" s="444">
        <v>0</v>
      </c>
      <c r="Y164" s="440">
        <v>0</v>
      </c>
      <c r="Z164" s="1740" t="s">
        <v>994</v>
      </c>
      <c r="AA164" s="27" t="s">
        <v>7</v>
      </c>
      <c r="AB164" s="1741" t="s">
        <v>673</v>
      </c>
      <c r="AC164" s="774" t="s">
        <v>58</v>
      </c>
      <c r="AD164" s="776">
        <v>3</v>
      </c>
      <c r="AE164" s="759" t="s">
        <v>128</v>
      </c>
      <c r="AF164" s="775" t="s">
        <v>374</v>
      </c>
    </row>
    <row r="165" spans="1:32" ht="31.2" outlineLevel="1" x14ac:dyDescent="0.25">
      <c r="A165" s="654" t="s">
        <v>830</v>
      </c>
      <c r="B165" s="760" t="s">
        <v>54</v>
      </c>
      <c r="C165" s="761" t="s">
        <v>987</v>
      </c>
      <c r="D165" s="113" t="s">
        <v>54</v>
      </c>
      <c r="E165" s="762" t="s">
        <v>988</v>
      </c>
      <c r="F165" s="762" t="s">
        <v>988</v>
      </c>
      <c r="G165" s="763">
        <v>1500</v>
      </c>
      <c r="H165" s="764">
        <v>0</v>
      </c>
      <c r="I165" s="765">
        <v>0</v>
      </c>
      <c r="J165" s="766">
        <v>0</v>
      </c>
      <c r="K165" s="767">
        <v>0</v>
      </c>
      <c r="L165" s="443">
        <f t="shared" si="23"/>
        <v>0</v>
      </c>
      <c r="M165" s="768">
        <v>0</v>
      </c>
      <c r="N165" s="769">
        <v>0</v>
      </c>
      <c r="O165" s="438">
        <f t="shared" si="24"/>
        <v>0</v>
      </c>
      <c r="P165" s="770">
        <v>1500</v>
      </c>
      <c r="Q165" s="440">
        <v>0</v>
      </c>
      <c r="R165" s="439">
        <v>0</v>
      </c>
      <c r="S165" s="444">
        <v>0</v>
      </c>
      <c r="T165" s="440">
        <v>0</v>
      </c>
      <c r="U165" s="439">
        <v>0</v>
      </c>
      <c r="V165" s="442">
        <v>0</v>
      </c>
      <c r="W165" s="442">
        <v>0</v>
      </c>
      <c r="X165" s="444">
        <v>0</v>
      </c>
      <c r="Y165" s="440">
        <v>0</v>
      </c>
      <c r="Z165" s="1740" t="s">
        <v>995</v>
      </c>
      <c r="AA165" s="27" t="s">
        <v>7</v>
      </c>
      <c r="AB165" s="1741" t="s">
        <v>673</v>
      </c>
      <c r="AC165" s="774" t="s">
        <v>58</v>
      </c>
      <c r="AD165" s="776">
        <v>3</v>
      </c>
      <c r="AE165" s="759" t="s">
        <v>132</v>
      </c>
      <c r="AF165" s="775" t="s">
        <v>374</v>
      </c>
    </row>
    <row r="166" spans="1:32" outlineLevel="1" thickBot="1" x14ac:dyDescent="0.3">
      <c r="A166" s="17" t="s">
        <v>63</v>
      </c>
      <c r="B166" s="17" t="s">
        <v>63</v>
      </c>
      <c r="C166" s="1317" t="s">
        <v>63</v>
      </c>
      <c r="D166" s="73" t="s">
        <v>635</v>
      </c>
      <c r="E166" s="1307" t="s">
        <v>63</v>
      </c>
      <c r="F166" s="73" t="s">
        <v>63</v>
      </c>
      <c r="G166" s="1397" t="s">
        <v>63</v>
      </c>
      <c r="H166" s="117" t="s">
        <v>63</v>
      </c>
      <c r="I166" s="115" t="s">
        <v>63</v>
      </c>
      <c r="J166" s="1197" t="s">
        <v>63</v>
      </c>
      <c r="K166" s="81" t="s">
        <v>63</v>
      </c>
      <c r="L166" s="349" t="s">
        <v>63</v>
      </c>
      <c r="M166" s="33" t="s">
        <v>63</v>
      </c>
      <c r="N166" s="74" t="s">
        <v>63</v>
      </c>
      <c r="O166" s="147" t="s">
        <v>63</v>
      </c>
      <c r="P166" s="1397" t="s">
        <v>63</v>
      </c>
      <c r="Q166" s="1585" t="s">
        <v>63</v>
      </c>
      <c r="R166" s="1586" t="s">
        <v>63</v>
      </c>
      <c r="S166" s="1587" t="s">
        <v>63</v>
      </c>
      <c r="T166" s="1585" t="s">
        <v>63</v>
      </c>
      <c r="U166" s="1586" t="s">
        <v>63</v>
      </c>
      <c r="V166" s="1588" t="s">
        <v>63</v>
      </c>
      <c r="W166" s="1588" t="s">
        <v>63</v>
      </c>
      <c r="X166" s="1587" t="s">
        <v>63</v>
      </c>
      <c r="Y166" s="1585" t="s">
        <v>63</v>
      </c>
      <c r="Z166" s="1585" t="s">
        <v>63</v>
      </c>
      <c r="AA166" s="73" t="s">
        <v>63</v>
      </c>
      <c r="AB166" s="18" t="s">
        <v>63</v>
      </c>
      <c r="AC166" s="18" t="s">
        <v>63</v>
      </c>
      <c r="AD166" s="17" t="s">
        <v>63</v>
      </c>
      <c r="AE166" s="73" t="s">
        <v>63</v>
      </c>
      <c r="AF166" s="73" t="s">
        <v>63</v>
      </c>
    </row>
    <row r="167" spans="1:32" s="888" customFormat="1" ht="18" thickBot="1" x14ac:dyDescent="0.3">
      <c r="A167" s="243" t="s">
        <v>74</v>
      </c>
      <c r="B167" s="244"/>
      <c r="C167" s="247"/>
      <c r="D167" s="7" t="s">
        <v>52</v>
      </c>
      <c r="E167" s="332" t="s">
        <v>52</v>
      </c>
      <c r="F167" s="311" t="s">
        <v>52</v>
      </c>
      <c r="G167" s="160">
        <f t="shared" ref="G167:N167" si="25">SUM(G128:G166)</f>
        <v>1609738.4862399998</v>
      </c>
      <c r="H167" s="160">
        <f t="shared" si="25"/>
        <v>31569.144000000004</v>
      </c>
      <c r="I167" s="160">
        <f t="shared" si="25"/>
        <v>15390.62414</v>
      </c>
      <c r="J167" s="160">
        <f t="shared" si="25"/>
        <v>34190.446860000004</v>
      </c>
      <c r="K167" s="160">
        <f t="shared" si="25"/>
        <v>15390.62414</v>
      </c>
      <c r="L167" s="160">
        <f t="shared" si="25"/>
        <v>76618.586760000006</v>
      </c>
      <c r="M167" s="160">
        <f t="shared" si="25"/>
        <v>186186.82474000001</v>
      </c>
      <c r="N167" s="160">
        <f t="shared" si="25"/>
        <v>-94177.613840000005</v>
      </c>
      <c r="O167" s="160">
        <f t="shared" ref="O167:O191" si="26">M167+N167</f>
        <v>92009.210900000005</v>
      </c>
      <c r="P167" s="160">
        <f t="shared" ref="P167:Y167" si="27">SUM(P128:P166)</f>
        <v>1212362.3330600001</v>
      </c>
      <c r="Q167" s="160">
        <f t="shared" si="27"/>
        <v>267000</v>
      </c>
      <c r="R167" s="160">
        <f t="shared" si="27"/>
        <v>3297.79828</v>
      </c>
      <c r="S167" s="160">
        <f t="shared" si="27"/>
        <v>0</v>
      </c>
      <c r="T167" s="160">
        <f t="shared" si="27"/>
        <v>3500</v>
      </c>
      <c r="U167" s="160">
        <f t="shared" si="27"/>
        <v>0</v>
      </c>
      <c r="V167" s="160">
        <f t="shared" si="27"/>
        <v>0</v>
      </c>
      <c r="W167" s="160">
        <f t="shared" si="27"/>
        <v>0</v>
      </c>
      <c r="X167" s="160">
        <f t="shared" si="27"/>
        <v>0</v>
      </c>
      <c r="Y167" s="160">
        <f t="shared" si="27"/>
        <v>0</v>
      </c>
      <c r="Z167" s="7" t="s">
        <v>861</v>
      </c>
      <c r="AA167" s="7" t="s">
        <v>52</v>
      </c>
      <c r="AB167" s="313" t="s">
        <v>52</v>
      </c>
      <c r="AC167" s="313" t="s">
        <v>52</v>
      </c>
      <c r="AD167" s="9" t="s">
        <v>52</v>
      </c>
      <c r="AE167" s="311" t="s">
        <v>52</v>
      </c>
      <c r="AF167" s="311" t="s">
        <v>52</v>
      </c>
    </row>
    <row r="168" spans="1:32" ht="31.2" outlineLevel="1" x14ac:dyDescent="0.25">
      <c r="A168" s="382" t="s">
        <v>158</v>
      </c>
      <c r="B168" s="383" t="s">
        <v>217</v>
      </c>
      <c r="C168" s="789" t="s">
        <v>61</v>
      </c>
      <c r="D168" s="36" t="s">
        <v>56</v>
      </c>
      <c r="E168" s="902" t="s">
        <v>4</v>
      </c>
      <c r="F168" s="878" t="s">
        <v>169</v>
      </c>
      <c r="G168" s="42">
        <v>17500</v>
      </c>
      <c r="H168" s="76">
        <v>0</v>
      </c>
      <c r="I168" s="870">
        <v>0</v>
      </c>
      <c r="J168" s="871">
        <v>0</v>
      </c>
      <c r="K168" s="111">
        <v>0</v>
      </c>
      <c r="L168" s="118">
        <f t="shared" ref="L168:L181" si="28">O168-K168</f>
        <v>0</v>
      </c>
      <c r="M168" s="130">
        <v>0</v>
      </c>
      <c r="N168" s="547">
        <v>0</v>
      </c>
      <c r="O168" s="387">
        <f t="shared" si="26"/>
        <v>0</v>
      </c>
      <c r="P168" s="385">
        <v>0</v>
      </c>
      <c r="Q168" s="790">
        <v>17500</v>
      </c>
      <c r="R168" s="791">
        <v>0</v>
      </c>
      <c r="S168" s="792">
        <v>0</v>
      </c>
      <c r="T168" s="94">
        <v>0</v>
      </c>
      <c r="U168" s="388">
        <v>0</v>
      </c>
      <c r="V168" s="379">
        <v>0</v>
      </c>
      <c r="W168" s="379">
        <v>0</v>
      </c>
      <c r="X168" s="389">
        <v>0</v>
      </c>
      <c r="Y168" s="720">
        <v>0</v>
      </c>
      <c r="Z168" s="36" t="s">
        <v>1014</v>
      </c>
      <c r="AA168" s="36" t="s">
        <v>21</v>
      </c>
      <c r="AB168" s="391" t="s">
        <v>888</v>
      </c>
      <c r="AC168" s="391" t="s">
        <v>58</v>
      </c>
      <c r="AD168" s="44" t="s">
        <v>66</v>
      </c>
      <c r="AE168" s="878" t="s">
        <v>513</v>
      </c>
      <c r="AF168" s="878" t="s">
        <v>378</v>
      </c>
    </row>
    <row r="169" spans="1:32" ht="31.8" outlineLevel="1" thickBot="1" x14ac:dyDescent="0.3">
      <c r="A169" s="477" t="s">
        <v>159</v>
      </c>
      <c r="B169" s="793" t="s">
        <v>218</v>
      </c>
      <c r="C169" s="479" t="s">
        <v>168</v>
      </c>
      <c r="D169" s="51" t="s">
        <v>56</v>
      </c>
      <c r="E169" s="904" t="s">
        <v>26</v>
      </c>
      <c r="F169" s="905" t="s">
        <v>26</v>
      </c>
      <c r="G169" s="52">
        <v>248655</v>
      </c>
      <c r="H169" s="98">
        <v>21584.069</v>
      </c>
      <c r="I169" s="891">
        <v>0</v>
      </c>
      <c r="J169" s="892">
        <v>0</v>
      </c>
      <c r="K169" s="112">
        <v>0</v>
      </c>
      <c r="L169" s="129">
        <f t="shared" si="28"/>
        <v>0</v>
      </c>
      <c r="M169" s="597">
        <v>0</v>
      </c>
      <c r="N169" s="106">
        <v>0</v>
      </c>
      <c r="O169" s="106">
        <f t="shared" si="26"/>
        <v>0</v>
      </c>
      <c r="P169" s="597">
        <v>15000</v>
      </c>
      <c r="Q169" s="739">
        <f>223870.931-11800</f>
        <v>212070.93100000001</v>
      </c>
      <c r="R169" s="794">
        <v>0</v>
      </c>
      <c r="S169" s="102">
        <v>0</v>
      </c>
      <c r="T169" s="795">
        <v>0</v>
      </c>
      <c r="U169" s="595">
        <v>0</v>
      </c>
      <c r="V169" s="593">
        <v>0</v>
      </c>
      <c r="W169" s="593">
        <v>0</v>
      </c>
      <c r="X169" s="593">
        <v>0</v>
      </c>
      <c r="Y169" s="714">
        <v>0</v>
      </c>
      <c r="Z169" s="138" t="s">
        <v>1015</v>
      </c>
      <c r="AA169" s="51" t="s">
        <v>7</v>
      </c>
      <c r="AB169" s="486" t="s">
        <v>242</v>
      </c>
      <c r="AC169" s="486" t="s">
        <v>58</v>
      </c>
      <c r="AD169" s="107" t="s">
        <v>68</v>
      </c>
      <c r="AE169" s="51" t="s">
        <v>127</v>
      </c>
      <c r="AF169" s="51" t="s">
        <v>378</v>
      </c>
    </row>
    <row r="170" spans="1:32" ht="31.2" outlineLevel="1" x14ac:dyDescent="0.25">
      <c r="A170" s="796" t="s">
        <v>32</v>
      </c>
      <c r="B170" s="383" t="s">
        <v>219</v>
      </c>
      <c r="C170" s="789" t="s">
        <v>53</v>
      </c>
      <c r="D170" s="36" t="s">
        <v>558</v>
      </c>
      <c r="E170" s="902" t="s">
        <v>25</v>
      </c>
      <c r="F170" s="878" t="s">
        <v>25</v>
      </c>
      <c r="G170" s="42">
        <f>50410.85+283</f>
        <v>50693.85</v>
      </c>
      <c r="H170" s="76">
        <v>1091.7598</v>
      </c>
      <c r="I170" s="870">
        <v>0</v>
      </c>
      <c r="J170" s="871">
        <v>811.91</v>
      </c>
      <c r="K170" s="111">
        <v>0</v>
      </c>
      <c r="L170" s="118">
        <f t="shared" si="28"/>
        <v>999.95</v>
      </c>
      <c r="M170" s="130">
        <v>1509.95</v>
      </c>
      <c r="N170" s="547">
        <v>-510</v>
      </c>
      <c r="O170" s="387">
        <f t="shared" si="26"/>
        <v>999.95</v>
      </c>
      <c r="P170" s="385">
        <v>0</v>
      </c>
      <c r="Q170" s="130">
        <f>G170-H170-O170</f>
        <v>48602.140200000002</v>
      </c>
      <c r="R170" s="92">
        <v>0</v>
      </c>
      <c r="S170" s="93">
        <v>0</v>
      </c>
      <c r="T170" s="94">
        <v>0</v>
      </c>
      <c r="U170" s="388">
        <v>0</v>
      </c>
      <c r="V170" s="379">
        <v>0</v>
      </c>
      <c r="W170" s="379">
        <v>0</v>
      </c>
      <c r="X170" s="389">
        <v>0</v>
      </c>
      <c r="Y170" s="720">
        <v>0</v>
      </c>
      <c r="Z170" s="36" t="s">
        <v>1016</v>
      </c>
      <c r="AA170" s="36" t="s">
        <v>7</v>
      </c>
      <c r="AB170" s="391" t="s">
        <v>286</v>
      </c>
      <c r="AC170" s="55" t="s">
        <v>58</v>
      </c>
      <c r="AD170" s="36">
        <v>3</v>
      </c>
      <c r="AE170" s="36" t="s">
        <v>130</v>
      </c>
      <c r="AF170" s="36" t="s">
        <v>378</v>
      </c>
    </row>
    <row r="171" spans="1:32" ht="40.200000000000003" outlineLevel="1" thickBot="1" x14ac:dyDescent="0.3">
      <c r="A171" s="527" t="s">
        <v>82</v>
      </c>
      <c r="B171" s="528" t="s">
        <v>220</v>
      </c>
      <c r="C171" s="690" t="s">
        <v>166</v>
      </c>
      <c r="D171" s="138" t="s">
        <v>97</v>
      </c>
      <c r="E171" s="889" t="s">
        <v>30</v>
      </c>
      <c r="F171" s="890" t="s">
        <v>30</v>
      </c>
      <c r="G171" s="120">
        <v>50000</v>
      </c>
      <c r="H171" s="98">
        <v>1769.9720600000001</v>
      </c>
      <c r="I171" s="891">
        <v>78.650000000000006</v>
      </c>
      <c r="J171" s="892">
        <v>11125.889020000002</v>
      </c>
      <c r="K171" s="481">
        <v>78.650000000000006</v>
      </c>
      <c r="L171" s="530">
        <f t="shared" si="28"/>
        <v>29921.35</v>
      </c>
      <c r="M171" s="531">
        <v>30985.227940000001</v>
      </c>
      <c r="N171" s="484">
        <v>-985.22793999999999</v>
      </c>
      <c r="O171" s="484">
        <f t="shared" si="26"/>
        <v>30000</v>
      </c>
      <c r="P171" s="531">
        <v>18230.02794</v>
      </c>
      <c r="Q171" s="402">
        <v>0</v>
      </c>
      <c r="R171" s="482">
        <v>0</v>
      </c>
      <c r="S171" s="189">
        <v>0</v>
      </c>
      <c r="T171" s="483">
        <v>0</v>
      </c>
      <c r="U171" s="532">
        <v>0</v>
      </c>
      <c r="V171" s="400">
        <v>0</v>
      </c>
      <c r="W171" s="400">
        <v>0</v>
      </c>
      <c r="X171" s="400">
        <v>0</v>
      </c>
      <c r="Y171" s="401">
        <v>0</v>
      </c>
      <c r="Z171" s="138" t="s">
        <v>1017</v>
      </c>
      <c r="AA171" s="138" t="s">
        <v>9</v>
      </c>
      <c r="AB171" s="688" t="s">
        <v>286</v>
      </c>
      <c r="AC171" s="176" t="s">
        <v>59</v>
      </c>
      <c r="AD171" s="177" t="s">
        <v>68</v>
      </c>
      <c r="AE171" s="890" t="s">
        <v>120</v>
      </c>
      <c r="AF171" s="890" t="s">
        <v>379</v>
      </c>
    </row>
    <row r="172" spans="1:32" ht="31.8" outlineLevel="1" thickBot="1" x14ac:dyDescent="0.3">
      <c r="A172" s="527" t="s">
        <v>101</v>
      </c>
      <c r="B172" s="528" t="s">
        <v>221</v>
      </c>
      <c r="C172" s="690" t="s">
        <v>259</v>
      </c>
      <c r="D172" s="138" t="s">
        <v>550</v>
      </c>
      <c r="E172" s="889" t="s">
        <v>169</v>
      </c>
      <c r="F172" s="890" t="s">
        <v>169</v>
      </c>
      <c r="G172" s="120">
        <v>3589.6102000000001</v>
      </c>
      <c r="H172" s="98">
        <v>18.149999999999999</v>
      </c>
      <c r="I172" s="891">
        <v>0</v>
      </c>
      <c r="J172" s="892">
        <v>0</v>
      </c>
      <c r="K172" s="481">
        <v>0</v>
      </c>
      <c r="L172" s="530">
        <f t="shared" si="28"/>
        <v>0</v>
      </c>
      <c r="M172" s="531">
        <v>3571.4602</v>
      </c>
      <c r="N172" s="484">
        <v>-3571.4602</v>
      </c>
      <c r="O172" s="484">
        <f t="shared" si="26"/>
        <v>0</v>
      </c>
      <c r="P172" s="531">
        <v>3571.4602</v>
      </c>
      <c r="Q172" s="402">
        <v>0</v>
      </c>
      <c r="R172" s="482">
        <v>0</v>
      </c>
      <c r="S172" s="189">
        <v>0</v>
      </c>
      <c r="T172" s="483">
        <v>0</v>
      </c>
      <c r="U172" s="532">
        <v>0</v>
      </c>
      <c r="V172" s="400">
        <v>0</v>
      </c>
      <c r="W172" s="400">
        <v>0</v>
      </c>
      <c r="X172" s="400">
        <v>0</v>
      </c>
      <c r="Y172" s="401">
        <v>0</v>
      </c>
      <c r="Z172" s="138" t="s">
        <v>1018</v>
      </c>
      <c r="AA172" s="138" t="s">
        <v>7</v>
      </c>
      <c r="AB172" s="688" t="s">
        <v>285</v>
      </c>
      <c r="AC172" s="176" t="s">
        <v>58</v>
      </c>
      <c r="AD172" s="177" t="s">
        <v>67</v>
      </c>
      <c r="AE172" s="905" t="s">
        <v>513</v>
      </c>
      <c r="AF172" s="890" t="s">
        <v>378</v>
      </c>
    </row>
    <row r="173" spans="1:32" ht="31.2" outlineLevel="1" x14ac:dyDescent="0.25">
      <c r="A173" s="371" t="s">
        <v>144</v>
      </c>
      <c r="B173" s="372" t="s">
        <v>222</v>
      </c>
      <c r="C173" s="373" t="s">
        <v>179</v>
      </c>
      <c r="D173" s="35" t="s">
        <v>163</v>
      </c>
      <c r="E173" s="868" t="s">
        <v>145</v>
      </c>
      <c r="F173" s="869" t="s">
        <v>145</v>
      </c>
      <c r="G173" s="39">
        <f>7260+150</f>
        <v>7410</v>
      </c>
      <c r="H173" s="76">
        <v>7084.81628</v>
      </c>
      <c r="I173" s="870">
        <v>0</v>
      </c>
      <c r="J173" s="871">
        <v>0</v>
      </c>
      <c r="K173" s="374">
        <v>0</v>
      </c>
      <c r="L173" s="375">
        <f t="shared" si="28"/>
        <v>0</v>
      </c>
      <c r="M173" s="130">
        <v>0</v>
      </c>
      <c r="N173" s="547">
        <v>0</v>
      </c>
      <c r="O173" s="547">
        <f t="shared" si="26"/>
        <v>0</v>
      </c>
      <c r="P173" s="50">
        <v>0</v>
      </c>
      <c r="Q173" s="43">
        <v>325.18371999999999</v>
      </c>
      <c r="R173" s="85">
        <v>0</v>
      </c>
      <c r="S173" s="86">
        <v>0</v>
      </c>
      <c r="T173" s="376">
        <v>0</v>
      </c>
      <c r="U173" s="378">
        <v>0</v>
      </c>
      <c r="V173" s="379">
        <v>0</v>
      </c>
      <c r="W173" s="379">
        <v>0</v>
      </c>
      <c r="X173" s="379">
        <v>0</v>
      </c>
      <c r="Y173" s="336">
        <v>0</v>
      </c>
      <c r="Z173" s="35" t="s">
        <v>1019</v>
      </c>
      <c r="AA173" s="35" t="s">
        <v>9</v>
      </c>
      <c r="AB173" s="797" t="s">
        <v>354</v>
      </c>
      <c r="AC173" s="381" t="s">
        <v>59</v>
      </c>
      <c r="AD173" s="109" t="s">
        <v>67</v>
      </c>
      <c r="AE173" s="869" t="s">
        <v>340</v>
      </c>
      <c r="AF173" s="869" t="s">
        <v>378</v>
      </c>
    </row>
    <row r="174" spans="1:32" ht="31.2" outlineLevel="1" x14ac:dyDescent="0.25">
      <c r="A174" s="229" t="s">
        <v>244</v>
      </c>
      <c r="B174" s="1398" t="s">
        <v>342</v>
      </c>
      <c r="C174" s="1399" t="s">
        <v>245</v>
      </c>
      <c r="D174" s="1333" t="s">
        <v>898</v>
      </c>
      <c r="E174" s="1400" t="s">
        <v>26</v>
      </c>
      <c r="F174" s="1401" t="s">
        <v>26</v>
      </c>
      <c r="G174" s="1402">
        <v>210.74799999999999</v>
      </c>
      <c r="H174" s="1198">
        <v>210.74799999999999</v>
      </c>
      <c r="I174" s="1199">
        <v>0</v>
      </c>
      <c r="J174" s="1200">
        <v>0</v>
      </c>
      <c r="K174" s="1201">
        <v>0</v>
      </c>
      <c r="L174" s="1202">
        <f t="shared" si="28"/>
        <v>0</v>
      </c>
      <c r="M174" s="1203">
        <v>29.25200000000001</v>
      </c>
      <c r="N174" s="230">
        <v>-29.251999999999999</v>
      </c>
      <c r="O174" s="1589">
        <f t="shared" si="26"/>
        <v>0</v>
      </c>
      <c r="P174" s="1590">
        <v>0</v>
      </c>
      <c r="Q174" s="1591">
        <v>0</v>
      </c>
      <c r="R174" s="1592">
        <v>0</v>
      </c>
      <c r="S174" s="1593">
        <v>0</v>
      </c>
      <c r="T174" s="1594">
        <v>0</v>
      </c>
      <c r="U174" s="1595">
        <v>0</v>
      </c>
      <c r="V174" s="1596">
        <v>0</v>
      </c>
      <c r="W174" s="1596">
        <v>0</v>
      </c>
      <c r="X174" s="1596">
        <v>0</v>
      </c>
      <c r="Y174" s="1597">
        <v>0</v>
      </c>
      <c r="Z174" s="1390" t="s">
        <v>390</v>
      </c>
      <c r="AA174" s="1598" t="s">
        <v>62</v>
      </c>
      <c r="AB174" s="1599" t="s">
        <v>330</v>
      </c>
      <c r="AC174" s="1600" t="s">
        <v>59</v>
      </c>
      <c r="AD174" s="1601" t="s">
        <v>68</v>
      </c>
      <c r="AE174" s="1401" t="s">
        <v>127</v>
      </c>
      <c r="AF174" s="1401" t="s">
        <v>378</v>
      </c>
    </row>
    <row r="175" spans="1:32" ht="26.4" outlineLevel="1" x14ac:dyDescent="0.25">
      <c r="A175" s="327" t="s">
        <v>247</v>
      </c>
      <c r="B175" s="1403" t="s">
        <v>54</v>
      </c>
      <c r="C175" s="1404" t="s">
        <v>248</v>
      </c>
      <c r="D175" s="1295" t="s">
        <v>898</v>
      </c>
      <c r="E175" s="1291" t="s">
        <v>197</v>
      </c>
      <c r="F175" s="1292" t="s">
        <v>197</v>
      </c>
      <c r="G175" s="1405">
        <v>100</v>
      </c>
      <c r="H175" s="1204">
        <v>0</v>
      </c>
      <c r="I175" s="1205">
        <v>0</v>
      </c>
      <c r="J175" s="1206">
        <v>0</v>
      </c>
      <c r="K175" s="1207">
        <v>0</v>
      </c>
      <c r="L175" s="1208">
        <f t="shared" si="28"/>
        <v>0</v>
      </c>
      <c r="M175" s="1189">
        <v>0</v>
      </c>
      <c r="N175" s="215">
        <v>0</v>
      </c>
      <c r="O175" s="1249">
        <f t="shared" si="26"/>
        <v>0</v>
      </c>
      <c r="P175" s="1602">
        <v>100</v>
      </c>
      <c r="Q175" s="1603">
        <v>0</v>
      </c>
      <c r="R175" s="1574">
        <v>0</v>
      </c>
      <c r="S175" s="1575">
        <v>0</v>
      </c>
      <c r="T175" s="1576">
        <v>0</v>
      </c>
      <c r="U175" s="1267">
        <v>0</v>
      </c>
      <c r="V175" s="1268">
        <v>0</v>
      </c>
      <c r="W175" s="1268">
        <v>0</v>
      </c>
      <c r="X175" s="1268">
        <v>0</v>
      </c>
      <c r="Y175" s="1285">
        <v>0</v>
      </c>
      <c r="Z175" s="1290" t="s">
        <v>52</v>
      </c>
      <c r="AA175" s="1604" t="s">
        <v>7</v>
      </c>
      <c r="AB175" s="1605" t="s">
        <v>755</v>
      </c>
      <c r="AC175" s="1606" t="s">
        <v>58</v>
      </c>
      <c r="AD175" s="1460" t="s">
        <v>68</v>
      </c>
      <c r="AE175" s="1292" t="s">
        <v>136</v>
      </c>
      <c r="AF175" s="1292" t="s">
        <v>380</v>
      </c>
    </row>
    <row r="176" spans="1:32" ht="31.8" outlineLevel="1" thickBot="1" x14ac:dyDescent="0.3">
      <c r="A176" s="346" t="s">
        <v>249</v>
      </c>
      <c r="B176" s="1406" t="s">
        <v>372</v>
      </c>
      <c r="C176" s="1407" t="s">
        <v>250</v>
      </c>
      <c r="D176" s="1300" t="s">
        <v>898</v>
      </c>
      <c r="E176" s="1408" t="s">
        <v>23</v>
      </c>
      <c r="F176" s="1302" t="s">
        <v>23</v>
      </c>
      <c r="G176" s="1409">
        <v>264.22901000000002</v>
      </c>
      <c r="H176" s="1209">
        <v>264.22901000000002</v>
      </c>
      <c r="I176" s="1210">
        <v>0</v>
      </c>
      <c r="J176" s="1211">
        <v>0</v>
      </c>
      <c r="K176" s="1212">
        <v>0</v>
      </c>
      <c r="L176" s="1213">
        <f t="shared" si="28"/>
        <v>0</v>
      </c>
      <c r="M176" s="1214">
        <v>75.770989999999983</v>
      </c>
      <c r="N176" s="347">
        <v>-75.770989999999998</v>
      </c>
      <c r="O176" s="1607">
        <f t="shared" si="26"/>
        <v>0</v>
      </c>
      <c r="P176" s="1608">
        <v>0</v>
      </c>
      <c r="Q176" s="1609">
        <v>0</v>
      </c>
      <c r="R176" s="1610">
        <v>0</v>
      </c>
      <c r="S176" s="1611">
        <v>0</v>
      </c>
      <c r="T176" s="1612">
        <v>0</v>
      </c>
      <c r="U176" s="1613">
        <v>0</v>
      </c>
      <c r="V176" s="1614">
        <v>0</v>
      </c>
      <c r="W176" s="1614">
        <v>0</v>
      </c>
      <c r="X176" s="1614">
        <v>0</v>
      </c>
      <c r="Y176" s="1615">
        <v>0</v>
      </c>
      <c r="Z176" s="1300" t="s">
        <v>1020</v>
      </c>
      <c r="AA176" s="1616" t="s">
        <v>62</v>
      </c>
      <c r="AB176" s="1617" t="s">
        <v>425</v>
      </c>
      <c r="AC176" s="1618" t="s">
        <v>59</v>
      </c>
      <c r="AD176" s="1470" t="s">
        <v>67</v>
      </c>
      <c r="AE176" s="1302" t="s">
        <v>119</v>
      </c>
      <c r="AF176" s="1302" t="s">
        <v>378</v>
      </c>
    </row>
    <row r="177" spans="1:32" ht="26.4" outlineLevel="1" x14ac:dyDescent="0.25">
      <c r="A177" s="798" t="s">
        <v>260</v>
      </c>
      <c r="B177" s="799" t="s">
        <v>54</v>
      </c>
      <c r="C177" s="373" t="s">
        <v>422</v>
      </c>
      <c r="D177" s="35" t="s">
        <v>520</v>
      </c>
      <c r="E177" s="868" t="s">
        <v>183</v>
      </c>
      <c r="F177" s="869" t="s">
        <v>183</v>
      </c>
      <c r="G177" s="84">
        <v>96000</v>
      </c>
      <c r="H177" s="800">
        <v>0</v>
      </c>
      <c r="I177" s="907">
        <v>0</v>
      </c>
      <c r="J177" s="908">
        <v>0</v>
      </c>
      <c r="K177" s="801">
        <v>0</v>
      </c>
      <c r="L177" s="802">
        <f t="shared" si="28"/>
        <v>86.8</v>
      </c>
      <c r="M177" s="612">
        <v>86.8</v>
      </c>
      <c r="N177" s="601">
        <v>0</v>
      </c>
      <c r="O177" s="601">
        <f t="shared" si="26"/>
        <v>86.8</v>
      </c>
      <c r="P177" s="56">
        <v>5000</v>
      </c>
      <c r="Q177" s="53">
        <v>90913.2</v>
      </c>
      <c r="R177" s="665">
        <v>0</v>
      </c>
      <c r="S177" s="666">
        <v>0</v>
      </c>
      <c r="T177" s="667">
        <v>0</v>
      </c>
      <c r="U177" s="544">
        <v>0</v>
      </c>
      <c r="V177" s="614">
        <v>0</v>
      </c>
      <c r="W177" s="614">
        <v>0</v>
      </c>
      <c r="X177" s="614">
        <v>0</v>
      </c>
      <c r="Y177" s="615">
        <v>0</v>
      </c>
      <c r="Z177" s="35" t="s">
        <v>1021</v>
      </c>
      <c r="AA177" s="34" t="s">
        <v>7</v>
      </c>
      <c r="AB177" s="803" t="s">
        <v>721</v>
      </c>
      <c r="AC177" s="548" t="s">
        <v>58</v>
      </c>
      <c r="AD177" s="109" t="s">
        <v>66</v>
      </c>
      <c r="AE177" s="869" t="s">
        <v>135</v>
      </c>
      <c r="AF177" s="869" t="s">
        <v>378</v>
      </c>
    </row>
    <row r="178" spans="1:32" ht="31.2" outlineLevel="1" x14ac:dyDescent="0.25">
      <c r="A178" s="227" t="s">
        <v>262</v>
      </c>
      <c r="B178" s="1410" t="s">
        <v>824</v>
      </c>
      <c r="C178" s="1411" t="s">
        <v>263</v>
      </c>
      <c r="D178" s="1395" t="s">
        <v>520</v>
      </c>
      <c r="E178" s="1412" t="s">
        <v>31</v>
      </c>
      <c r="F178" s="1413" t="s">
        <v>31</v>
      </c>
      <c r="G178" s="1414">
        <v>790.53399999999999</v>
      </c>
      <c r="H178" s="1215">
        <v>0</v>
      </c>
      <c r="I178" s="1216">
        <v>790.53399999999999</v>
      </c>
      <c r="J178" s="1217">
        <v>0</v>
      </c>
      <c r="K178" s="1218">
        <v>790.53399999999999</v>
      </c>
      <c r="L178" s="1219">
        <f t="shared" si="28"/>
        <v>0</v>
      </c>
      <c r="M178" s="1220">
        <v>790.53399999999999</v>
      </c>
      <c r="N178" s="228">
        <v>0</v>
      </c>
      <c r="O178" s="1619">
        <f t="shared" si="26"/>
        <v>790.53399999999999</v>
      </c>
      <c r="P178" s="1620">
        <v>0</v>
      </c>
      <c r="Q178" s="1621">
        <v>0</v>
      </c>
      <c r="R178" s="1622">
        <v>0</v>
      </c>
      <c r="S178" s="1623">
        <v>0</v>
      </c>
      <c r="T178" s="1624">
        <v>0</v>
      </c>
      <c r="U178" s="1625">
        <v>0</v>
      </c>
      <c r="V178" s="1626">
        <v>0</v>
      </c>
      <c r="W178" s="1626">
        <v>0</v>
      </c>
      <c r="X178" s="1277">
        <v>0</v>
      </c>
      <c r="Y178" s="1284">
        <v>0</v>
      </c>
      <c r="Z178" s="1395" t="s">
        <v>52</v>
      </c>
      <c r="AA178" s="1627" t="s">
        <v>62</v>
      </c>
      <c r="AB178" s="1628" t="s">
        <v>261</v>
      </c>
      <c r="AC178" s="1629" t="s">
        <v>59</v>
      </c>
      <c r="AD178" s="1630" t="s">
        <v>68</v>
      </c>
      <c r="AE178" s="1413" t="s">
        <v>133</v>
      </c>
      <c r="AF178" s="1413" t="s">
        <v>378</v>
      </c>
    </row>
    <row r="179" spans="1:32" ht="31.2" outlineLevel="1" x14ac:dyDescent="0.25">
      <c r="A179" s="805" t="s">
        <v>264</v>
      </c>
      <c r="B179" s="1415" t="s">
        <v>54</v>
      </c>
      <c r="C179" s="1416" t="s">
        <v>265</v>
      </c>
      <c r="D179" s="1417" t="s">
        <v>520</v>
      </c>
      <c r="E179" s="1418" t="s">
        <v>31</v>
      </c>
      <c r="F179" s="1419" t="s">
        <v>31</v>
      </c>
      <c r="G179" s="1420">
        <v>1000</v>
      </c>
      <c r="H179" s="1221">
        <v>0</v>
      </c>
      <c r="I179" s="1222">
        <v>0</v>
      </c>
      <c r="J179" s="1223">
        <v>0</v>
      </c>
      <c r="K179" s="1224">
        <v>0</v>
      </c>
      <c r="L179" s="1225">
        <f t="shared" si="28"/>
        <v>0</v>
      </c>
      <c r="M179" s="1226">
        <v>0</v>
      </c>
      <c r="N179" s="806">
        <v>0</v>
      </c>
      <c r="O179" s="1631">
        <f t="shared" si="26"/>
        <v>0</v>
      </c>
      <c r="P179" s="1632">
        <v>1000</v>
      </c>
      <c r="Q179" s="1633">
        <v>0</v>
      </c>
      <c r="R179" s="1634">
        <v>0</v>
      </c>
      <c r="S179" s="1635">
        <v>0</v>
      </c>
      <c r="T179" s="1636">
        <v>0</v>
      </c>
      <c r="U179" s="1637">
        <v>0</v>
      </c>
      <c r="V179" s="1638">
        <v>0</v>
      </c>
      <c r="W179" s="1638">
        <v>0</v>
      </c>
      <c r="X179" s="1283">
        <v>0</v>
      </c>
      <c r="Y179" s="1639">
        <v>0</v>
      </c>
      <c r="Z179" s="1417" t="s">
        <v>1022</v>
      </c>
      <c r="AA179" s="1640" t="s">
        <v>7</v>
      </c>
      <c r="AB179" s="1641" t="s">
        <v>673</v>
      </c>
      <c r="AC179" s="1642" t="s">
        <v>58</v>
      </c>
      <c r="AD179" s="1643" t="s">
        <v>68</v>
      </c>
      <c r="AE179" s="1419" t="s">
        <v>133</v>
      </c>
      <c r="AF179" s="1419" t="s">
        <v>378</v>
      </c>
    </row>
    <row r="180" spans="1:32" ht="31.8" outlineLevel="1" thickBot="1" x14ac:dyDescent="0.3">
      <c r="A180" s="346" t="s">
        <v>266</v>
      </c>
      <c r="B180" s="1406" t="s">
        <v>373</v>
      </c>
      <c r="C180" s="1407" t="s">
        <v>267</v>
      </c>
      <c r="D180" s="1300" t="s">
        <v>520</v>
      </c>
      <c r="E180" s="1408" t="s">
        <v>181</v>
      </c>
      <c r="F180" s="1302" t="s">
        <v>181</v>
      </c>
      <c r="G180" s="1409">
        <v>691.85</v>
      </c>
      <c r="H180" s="1209">
        <v>691.85</v>
      </c>
      <c r="I180" s="1210">
        <v>0</v>
      </c>
      <c r="J180" s="1211">
        <v>0</v>
      </c>
      <c r="K180" s="1212">
        <v>0</v>
      </c>
      <c r="L180" s="1213">
        <f t="shared" si="28"/>
        <v>0</v>
      </c>
      <c r="M180" s="1214">
        <v>2208.15</v>
      </c>
      <c r="N180" s="347">
        <v>-2208.15</v>
      </c>
      <c r="O180" s="1607">
        <f t="shared" si="26"/>
        <v>0</v>
      </c>
      <c r="P180" s="1644">
        <v>0</v>
      </c>
      <c r="Q180" s="1609">
        <v>0</v>
      </c>
      <c r="R180" s="1610">
        <v>0</v>
      </c>
      <c r="S180" s="1611">
        <v>0</v>
      </c>
      <c r="T180" s="1612">
        <v>0</v>
      </c>
      <c r="U180" s="1613">
        <v>0</v>
      </c>
      <c r="V180" s="1614">
        <v>0</v>
      </c>
      <c r="W180" s="1614">
        <v>0</v>
      </c>
      <c r="X180" s="1614">
        <v>0</v>
      </c>
      <c r="Y180" s="1615">
        <v>0</v>
      </c>
      <c r="Z180" s="1300" t="s">
        <v>1023</v>
      </c>
      <c r="AA180" s="1616" t="s">
        <v>62</v>
      </c>
      <c r="AB180" s="1617" t="s">
        <v>582</v>
      </c>
      <c r="AC180" s="1618" t="s">
        <v>58</v>
      </c>
      <c r="AD180" s="1470" t="s">
        <v>67</v>
      </c>
      <c r="AE180" s="1302" t="s">
        <v>130</v>
      </c>
      <c r="AF180" s="1302" t="s">
        <v>378</v>
      </c>
    </row>
    <row r="181" spans="1:32" ht="26.4" outlineLevel="1" x14ac:dyDescent="0.25">
      <c r="A181" s="225" t="s">
        <v>336</v>
      </c>
      <c r="B181" s="1421" t="s">
        <v>428</v>
      </c>
      <c r="C181" s="1422" t="s">
        <v>337</v>
      </c>
      <c r="D181" s="1333" t="s">
        <v>547</v>
      </c>
      <c r="E181" s="1423" t="s">
        <v>23</v>
      </c>
      <c r="F181" s="1424" t="s">
        <v>23</v>
      </c>
      <c r="G181" s="1425">
        <v>9724.6260000000002</v>
      </c>
      <c r="H181" s="1227">
        <v>5899.0537099999992</v>
      </c>
      <c r="I181" s="1228">
        <v>3825.5722900000001</v>
      </c>
      <c r="J181" s="1229">
        <v>0</v>
      </c>
      <c r="K181" s="1230">
        <v>3825.5722900000001</v>
      </c>
      <c r="L181" s="1231">
        <f t="shared" si="28"/>
        <v>0</v>
      </c>
      <c r="M181" s="1232">
        <v>4418.4362900000024</v>
      </c>
      <c r="N181" s="226">
        <v>-592.86400000000003</v>
      </c>
      <c r="O181" s="1645">
        <f t="shared" si="26"/>
        <v>3825.5722900000023</v>
      </c>
      <c r="P181" s="1646">
        <v>0</v>
      </c>
      <c r="Q181" s="1647">
        <v>0</v>
      </c>
      <c r="R181" s="1648">
        <v>0</v>
      </c>
      <c r="S181" s="1649">
        <v>0</v>
      </c>
      <c r="T181" s="1650">
        <v>0</v>
      </c>
      <c r="U181" s="1651">
        <v>0</v>
      </c>
      <c r="V181" s="1652">
        <v>0</v>
      </c>
      <c r="W181" s="1652">
        <v>0</v>
      </c>
      <c r="X181" s="1652">
        <v>0</v>
      </c>
      <c r="Y181" s="1653">
        <v>0</v>
      </c>
      <c r="Z181" s="1654" t="s">
        <v>1024</v>
      </c>
      <c r="AA181" s="1655" t="s">
        <v>62</v>
      </c>
      <c r="AB181" s="1656" t="s">
        <v>425</v>
      </c>
      <c r="AC181" s="1657" t="s">
        <v>59</v>
      </c>
      <c r="AD181" s="1658" t="s">
        <v>67</v>
      </c>
      <c r="AE181" s="1424" t="s">
        <v>119</v>
      </c>
      <c r="AF181" s="1424"/>
    </row>
    <row r="182" spans="1:32" ht="46.8" outlineLevel="1" x14ac:dyDescent="0.25">
      <c r="A182" s="807" t="s">
        <v>338</v>
      </c>
      <c r="B182" s="808" t="s">
        <v>313</v>
      </c>
      <c r="C182" s="809" t="s">
        <v>339</v>
      </c>
      <c r="D182" s="36" t="s">
        <v>547</v>
      </c>
      <c r="E182" s="909" t="s">
        <v>27</v>
      </c>
      <c r="F182" s="910" t="s">
        <v>27</v>
      </c>
      <c r="G182" s="810">
        <v>39419.99</v>
      </c>
      <c r="H182" s="811">
        <v>216.19200000000001</v>
      </c>
      <c r="I182" s="911">
        <v>25.072320000000001</v>
      </c>
      <c r="J182" s="912">
        <v>0</v>
      </c>
      <c r="K182" s="90">
        <v>25.072320000000001</v>
      </c>
      <c r="L182" s="913">
        <f t="shared" ref="L182:L191" si="29">O182-K182</f>
        <v>653.72768000000292</v>
      </c>
      <c r="M182" s="812">
        <v>678.80000000000291</v>
      </c>
      <c r="N182" s="813">
        <v>0</v>
      </c>
      <c r="O182" s="813">
        <f t="shared" si="26"/>
        <v>678.80000000000291</v>
      </c>
      <c r="P182" s="814">
        <v>0</v>
      </c>
      <c r="Q182" s="815">
        <v>38524.998</v>
      </c>
      <c r="R182" s="816">
        <v>0</v>
      </c>
      <c r="S182" s="817">
        <v>0</v>
      </c>
      <c r="T182" s="818">
        <v>0</v>
      </c>
      <c r="U182" s="819">
        <v>0</v>
      </c>
      <c r="V182" s="820">
        <v>0</v>
      </c>
      <c r="W182" s="820">
        <v>0</v>
      </c>
      <c r="X182" s="820">
        <v>0</v>
      </c>
      <c r="Y182" s="821">
        <v>0</v>
      </c>
      <c r="Z182" s="114" t="s">
        <v>1025</v>
      </c>
      <c r="AA182" s="180" t="s">
        <v>5</v>
      </c>
      <c r="AB182" s="822" t="s">
        <v>721</v>
      </c>
      <c r="AC182" s="823" t="s">
        <v>58</v>
      </c>
      <c r="AD182" s="262" t="s">
        <v>68</v>
      </c>
      <c r="AE182" s="910" t="s">
        <v>120</v>
      </c>
      <c r="AF182" s="205" t="s">
        <v>378</v>
      </c>
    </row>
    <row r="183" spans="1:32" ht="26.4" outlineLevel="1" x14ac:dyDescent="0.25">
      <c r="A183" s="229" t="s">
        <v>355</v>
      </c>
      <c r="B183" s="1398" t="s">
        <v>630</v>
      </c>
      <c r="C183" s="1399" t="s">
        <v>356</v>
      </c>
      <c r="D183" s="1390" t="s">
        <v>546</v>
      </c>
      <c r="E183" s="1400" t="s">
        <v>27</v>
      </c>
      <c r="F183" s="1401" t="s">
        <v>27</v>
      </c>
      <c r="G183" s="1402">
        <v>45.98</v>
      </c>
      <c r="H183" s="1198">
        <v>45.98</v>
      </c>
      <c r="I183" s="1199">
        <v>0</v>
      </c>
      <c r="J183" s="1200">
        <v>0</v>
      </c>
      <c r="K183" s="1201">
        <v>0</v>
      </c>
      <c r="L183" s="1202">
        <f t="shared" si="29"/>
        <v>0</v>
      </c>
      <c r="M183" s="1203">
        <v>0</v>
      </c>
      <c r="N183" s="230">
        <v>0</v>
      </c>
      <c r="O183" s="1589">
        <f t="shared" si="26"/>
        <v>0</v>
      </c>
      <c r="P183" s="1590">
        <v>0</v>
      </c>
      <c r="Q183" s="1591">
        <v>0</v>
      </c>
      <c r="R183" s="1592">
        <v>0</v>
      </c>
      <c r="S183" s="1593">
        <v>0</v>
      </c>
      <c r="T183" s="1594">
        <v>0</v>
      </c>
      <c r="U183" s="1595">
        <v>0</v>
      </c>
      <c r="V183" s="1573">
        <v>0</v>
      </c>
      <c r="W183" s="1573">
        <v>0</v>
      </c>
      <c r="X183" s="1578">
        <v>0</v>
      </c>
      <c r="Y183" s="1597">
        <v>0</v>
      </c>
      <c r="Z183" s="1394" t="s">
        <v>1026</v>
      </c>
      <c r="AA183" s="1598" t="s">
        <v>62</v>
      </c>
      <c r="AB183" s="1599" t="s">
        <v>330</v>
      </c>
      <c r="AC183" s="1600" t="s">
        <v>58</v>
      </c>
      <c r="AD183" s="1601" t="s">
        <v>67</v>
      </c>
      <c r="AE183" s="1401" t="s">
        <v>120</v>
      </c>
      <c r="AF183" s="1401"/>
    </row>
    <row r="184" spans="1:32" ht="46.8" outlineLevel="1" x14ac:dyDescent="0.25">
      <c r="A184" s="807" t="s">
        <v>357</v>
      </c>
      <c r="B184" s="808" t="s">
        <v>54</v>
      </c>
      <c r="C184" s="809" t="s">
        <v>421</v>
      </c>
      <c r="D184" s="36" t="s">
        <v>546</v>
      </c>
      <c r="E184" s="909" t="s">
        <v>27</v>
      </c>
      <c r="F184" s="910" t="s">
        <v>27</v>
      </c>
      <c r="G184" s="810">
        <v>3500</v>
      </c>
      <c r="H184" s="811">
        <v>0</v>
      </c>
      <c r="I184" s="911">
        <v>0</v>
      </c>
      <c r="J184" s="912">
        <v>0</v>
      </c>
      <c r="K184" s="824">
        <v>0</v>
      </c>
      <c r="L184" s="825">
        <f t="shared" si="29"/>
        <v>0</v>
      </c>
      <c r="M184" s="812">
        <v>0</v>
      </c>
      <c r="N184" s="813">
        <v>0</v>
      </c>
      <c r="O184" s="813">
        <f t="shared" si="26"/>
        <v>0</v>
      </c>
      <c r="P184" s="814">
        <v>0</v>
      </c>
      <c r="Q184" s="815">
        <v>3500</v>
      </c>
      <c r="R184" s="816">
        <v>0</v>
      </c>
      <c r="S184" s="817">
        <v>0</v>
      </c>
      <c r="T184" s="818">
        <v>0</v>
      </c>
      <c r="U184" s="819">
        <v>0</v>
      </c>
      <c r="V184" s="179">
        <v>0</v>
      </c>
      <c r="W184" s="179">
        <v>0</v>
      </c>
      <c r="X184" s="179">
        <v>0</v>
      </c>
      <c r="Y184" s="821">
        <v>0</v>
      </c>
      <c r="Z184" s="114" t="s">
        <v>1027</v>
      </c>
      <c r="AA184" s="180" t="s">
        <v>5</v>
      </c>
      <c r="AB184" s="822" t="s">
        <v>721</v>
      </c>
      <c r="AC184" s="823" t="s">
        <v>58</v>
      </c>
      <c r="AD184" s="262" t="s">
        <v>67</v>
      </c>
      <c r="AE184" s="910" t="s">
        <v>120</v>
      </c>
      <c r="AF184" s="910"/>
    </row>
    <row r="185" spans="1:32" ht="46.8" outlineLevel="1" x14ac:dyDescent="0.25">
      <c r="A185" s="229" t="s">
        <v>414</v>
      </c>
      <c r="B185" s="1398" t="s">
        <v>536</v>
      </c>
      <c r="C185" s="1399" t="s">
        <v>807</v>
      </c>
      <c r="D185" s="1333" t="s">
        <v>551</v>
      </c>
      <c r="E185" s="1400" t="s">
        <v>27</v>
      </c>
      <c r="F185" s="1401" t="s">
        <v>27</v>
      </c>
      <c r="G185" s="1402">
        <v>147</v>
      </c>
      <c r="H185" s="1198">
        <v>147</v>
      </c>
      <c r="I185" s="1199">
        <v>0</v>
      </c>
      <c r="J185" s="1200">
        <v>0</v>
      </c>
      <c r="K185" s="1201">
        <v>0</v>
      </c>
      <c r="L185" s="1202">
        <f t="shared" si="29"/>
        <v>0</v>
      </c>
      <c r="M185" s="1203">
        <v>24</v>
      </c>
      <c r="N185" s="230">
        <v>-24</v>
      </c>
      <c r="O185" s="1589">
        <f t="shared" si="26"/>
        <v>0</v>
      </c>
      <c r="P185" s="1659">
        <v>0</v>
      </c>
      <c r="Q185" s="1594">
        <v>0</v>
      </c>
      <c r="R185" s="1592">
        <v>0</v>
      </c>
      <c r="S185" s="1593">
        <v>0</v>
      </c>
      <c r="T185" s="1594">
        <v>0</v>
      </c>
      <c r="U185" s="1595">
        <v>0</v>
      </c>
      <c r="V185" s="1578">
        <v>0</v>
      </c>
      <c r="W185" s="1578">
        <v>0</v>
      </c>
      <c r="X185" s="1578">
        <v>0</v>
      </c>
      <c r="Y185" s="1597">
        <v>0</v>
      </c>
      <c r="Z185" s="1394" t="s">
        <v>1028</v>
      </c>
      <c r="AA185" s="1598" t="s">
        <v>62</v>
      </c>
      <c r="AB185" s="1599" t="s">
        <v>330</v>
      </c>
      <c r="AC185" s="1600" t="s">
        <v>59</v>
      </c>
      <c r="AD185" s="1601" t="s">
        <v>67</v>
      </c>
      <c r="AE185" s="1401" t="s">
        <v>120</v>
      </c>
      <c r="AF185" s="1401"/>
    </row>
    <row r="186" spans="1:32" ht="31.2" outlineLevel="1" x14ac:dyDescent="0.25">
      <c r="A186" s="807" t="s">
        <v>415</v>
      </c>
      <c r="B186" s="808" t="s">
        <v>823</v>
      </c>
      <c r="C186" s="809" t="s">
        <v>416</v>
      </c>
      <c r="D186" s="35" t="s">
        <v>551</v>
      </c>
      <c r="E186" s="909" t="s">
        <v>145</v>
      </c>
      <c r="F186" s="910" t="s">
        <v>145</v>
      </c>
      <c r="G186" s="810">
        <v>6900</v>
      </c>
      <c r="H186" s="811">
        <v>0</v>
      </c>
      <c r="I186" s="911">
        <v>5</v>
      </c>
      <c r="J186" s="912">
        <v>0</v>
      </c>
      <c r="K186" s="824">
        <v>5</v>
      </c>
      <c r="L186" s="825">
        <f t="shared" si="29"/>
        <v>442.09500000000025</v>
      </c>
      <c r="M186" s="812">
        <v>447.09500000000025</v>
      </c>
      <c r="N186" s="813">
        <v>0</v>
      </c>
      <c r="O186" s="813">
        <f t="shared" si="26"/>
        <v>447.09500000000025</v>
      </c>
      <c r="P186" s="59">
        <v>0</v>
      </c>
      <c r="Q186" s="818">
        <v>6452.9049999999997</v>
      </c>
      <c r="R186" s="816">
        <v>0</v>
      </c>
      <c r="S186" s="817">
        <v>0</v>
      </c>
      <c r="T186" s="818">
        <v>0</v>
      </c>
      <c r="U186" s="819">
        <v>0</v>
      </c>
      <c r="V186" s="179">
        <v>0</v>
      </c>
      <c r="W186" s="179">
        <v>0</v>
      </c>
      <c r="X186" s="179">
        <v>0</v>
      </c>
      <c r="Y186" s="821">
        <v>0</v>
      </c>
      <c r="Z186" s="114" t="s">
        <v>1029</v>
      </c>
      <c r="AA186" s="180" t="s">
        <v>7</v>
      </c>
      <c r="AB186" s="822" t="s">
        <v>417</v>
      </c>
      <c r="AC186" s="823" t="s">
        <v>58</v>
      </c>
      <c r="AD186" s="262" t="s">
        <v>67</v>
      </c>
      <c r="AE186" s="910" t="s">
        <v>340</v>
      </c>
      <c r="AF186" s="910"/>
    </row>
    <row r="187" spans="1:32" ht="31.2" outlineLevel="1" x14ac:dyDescent="0.25">
      <c r="A187" s="826" t="s">
        <v>429</v>
      </c>
      <c r="B187" s="1426" t="s">
        <v>537</v>
      </c>
      <c r="C187" s="1427" t="s">
        <v>29</v>
      </c>
      <c r="D187" s="1355" t="s">
        <v>545</v>
      </c>
      <c r="E187" s="1428" t="s">
        <v>4</v>
      </c>
      <c r="F187" s="1429" t="s">
        <v>4</v>
      </c>
      <c r="G187" s="1430">
        <v>17397.026000000002</v>
      </c>
      <c r="H187" s="1233">
        <v>1964.0260000000001</v>
      </c>
      <c r="I187" s="1234">
        <v>0</v>
      </c>
      <c r="J187" s="1235">
        <v>0</v>
      </c>
      <c r="K187" s="1236">
        <v>0</v>
      </c>
      <c r="L187" s="1237">
        <f t="shared" si="29"/>
        <v>2933</v>
      </c>
      <c r="M187" s="1238">
        <v>2933</v>
      </c>
      <c r="N187" s="827">
        <v>0</v>
      </c>
      <c r="O187" s="1660">
        <f t="shared" si="26"/>
        <v>2933</v>
      </c>
      <c r="P187" s="1661">
        <v>2500</v>
      </c>
      <c r="Q187" s="1662">
        <v>10000</v>
      </c>
      <c r="R187" s="1663">
        <v>0</v>
      </c>
      <c r="S187" s="1664">
        <v>0</v>
      </c>
      <c r="T187" s="1662">
        <v>0</v>
      </c>
      <c r="U187" s="1665">
        <v>0</v>
      </c>
      <c r="V187" s="1666">
        <v>0</v>
      </c>
      <c r="W187" s="1666">
        <v>0</v>
      </c>
      <c r="X187" s="1666">
        <v>0</v>
      </c>
      <c r="Y187" s="1667">
        <v>0</v>
      </c>
      <c r="Z187" s="1668" t="s">
        <v>1030</v>
      </c>
      <c r="AA187" s="1669" t="s">
        <v>21</v>
      </c>
      <c r="AB187" s="1670" t="s">
        <v>1031</v>
      </c>
      <c r="AC187" s="1671" t="s">
        <v>59</v>
      </c>
      <c r="AD187" s="1672" t="s">
        <v>67</v>
      </c>
      <c r="AE187" s="1429" t="s">
        <v>246</v>
      </c>
      <c r="AF187" s="1429"/>
    </row>
    <row r="188" spans="1:32" ht="31.2" outlineLevel="1" x14ac:dyDescent="0.25">
      <c r="A188" s="229" t="s">
        <v>430</v>
      </c>
      <c r="B188" s="1398" t="s">
        <v>808</v>
      </c>
      <c r="C188" s="1399" t="s">
        <v>431</v>
      </c>
      <c r="D188" s="1333" t="s">
        <v>545</v>
      </c>
      <c r="E188" s="1400" t="s">
        <v>81</v>
      </c>
      <c r="F188" s="1401" t="s">
        <v>81</v>
      </c>
      <c r="G188" s="1402">
        <v>2215.6309999999999</v>
      </c>
      <c r="H188" s="1198">
        <v>0</v>
      </c>
      <c r="I188" s="1199">
        <v>2215.6309999999999</v>
      </c>
      <c r="J188" s="1200">
        <v>0</v>
      </c>
      <c r="K188" s="1201">
        <v>2215.6309999999999</v>
      </c>
      <c r="L188" s="1202">
        <f t="shared" si="29"/>
        <v>0</v>
      </c>
      <c r="M188" s="1203">
        <v>2990</v>
      </c>
      <c r="N188" s="230">
        <v>-774.36900000000003</v>
      </c>
      <c r="O188" s="1589">
        <f t="shared" si="26"/>
        <v>2215.6309999999999</v>
      </c>
      <c r="P188" s="1659">
        <v>0</v>
      </c>
      <c r="Q188" s="1594">
        <v>0</v>
      </c>
      <c r="R188" s="1592">
        <v>0</v>
      </c>
      <c r="S188" s="1593">
        <v>0</v>
      </c>
      <c r="T188" s="1594">
        <v>0</v>
      </c>
      <c r="U188" s="1595">
        <v>0</v>
      </c>
      <c r="V188" s="1596">
        <v>0</v>
      </c>
      <c r="W188" s="1596">
        <v>0</v>
      </c>
      <c r="X188" s="1596">
        <v>0</v>
      </c>
      <c r="Y188" s="1597">
        <v>0</v>
      </c>
      <c r="Z188" s="1394" t="s">
        <v>1032</v>
      </c>
      <c r="AA188" s="1598" t="s">
        <v>62</v>
      </c>
      <c r="AB188" s="1599" t="s">
        <v>425</v>
      </c>
      <c r="AC188" s="1600" t="s">
        <v>59</v>
      </c>
      <c r="AD188" s="1601" t="s">
        <v>67</v>
      </c>
      <c r="AE188" s="1401" t="s">
        <v>132</v>
      </c>
      <c r="AF188" s="1401"/>
    </row>
    <row r="189" spans="1:32" ht="26.4" outlineLevel="1" x14ac:dyDescent="0.25">
      <c r="A189" s="229" t="s">
        <v>432</v>
      </c>
      <c r="B189" s="1398" t="s">
        <v>649</v>
      </c>
      <c r="C189" s="1399" t="s">
        <v>433</v>
      </c>
      <c r="D189" s="1390" t="s">
        <v>545</v>
      </c>
      <c r="E189" s="1400" t="s">
        <v>81</v>
      </c>
      <c r="F189" s="1401" t="s">
        <v>81</v>
      </c>
      <c r="G189" s="1402">
        <v>903.97648000000004</v>
      </c>
      <c r="H189" s="1198">
        <v>903.97648000000004</v>
      </c>
      <c r="I189" s="1199">
        <v>0</v>
      </c>
      <c r="J189" s="1200">
        <v>0</v>
      </c>
      <c r="K189" s="1201">
        <v>0</v>
      </c>
      <c r="L189" s="1202">
        <f t="shared" si="29"/>
        <v>0</v>
      </c>
      <c r="M189" s="1203">
        <v>306.02352000000002</v>
      </c>
      <c r="N189" s="230">
        <v>-306.02352000000002</v>
      </c>
      <c r="O189" s="1589">
        <f t="shared" si="26"/>
        <v>0</v>
      </c>
      <c r="P189" s="1659">
        <v>0</v>
      </c>
      <c r="Q189" s="1594">
        <v>0</v>
      </c>
      <c r="R189" s="1592">
        <v>0</v>
      </c>
      <c r="S189" s="1593">
        <v>0</v>
      </c>
      <c r="T189" s="1594">
        <v>0</v>
      </c>
      <c r="U189" s="1595">
        <v>0</v>
      </c>
      <c r="V189" s="1596">
        <v>0</v>
      </c>
      <c r="W189" s="1596">
        <v>0</v>
      </c>
      <c r="X189" s="1596">
        <v>0</v>
      </c>
      <c r="Y189" s="1597">
        <v>0</v>
      </c>
      <c r="Z189" s="1394" t="s">
        <v>1033</v>
      </c>
      <c r="AA189" s="1598" t="s">
        <v>62</v>
      </c>
      <c r="AB189" s="1599" t="s">
        <v>425</v>
      </c>
      <c r="AC189" s="1600" t="s">
        <v>59</v>
      </c>
      <c r="AD189" s="1601" t="s">
        <v>67</v>
      </c>
      <c r="AE189" s="1401" t="s">
        <v>132</v>
      </c>
      <c r="AF189" s="1401"/>
    </row>
    <row r="190" spans="1:32" ht="31.2" outlineLevel="1" x14ac:dyDescent="0.25">
      <c r="A190" s="807" t="s">
        <v>434</v>
      </c>
      <c r="B190" s="808" t="s">
        <v>54</v>
      </c>
      <c r="C190" s="809" t="s">
        <v>435</v>
      </c>
      <c r="D190" s="36" t="s">
        <v>545</v>
      </c>
      <c r="E190" s="909" t="s">
        <v>289</v>
      </c>
      <c r="F190" s="910" t="s">
        <v>289</v>
      </c>
      <c r="G190" s="810">
        <v>375.65</v>
      </c>
      <c r="H190" s="811">
        <v>0</v>
      </c>
      <c r="I190" s="911">
        <v>0</v>
      </c>
      <c r="J190" s="912">
        <v>0</v>
      </c>
      <c r="K190" s="824">
        <v>0</v>
      </c>
      <c r="L190" s="825">
        <f t="shared" si="29"/>
        <v>0</v>
      </c>
      <c r="M190" s="812">
        <v>375.65</v>
      </c>
      <c r="N190" s="813">
        <v>-375.65</v>
      </c>
      <c r="O190" s="813">
        <f t="shared" si="26"/>
        <v>0</v>
      </c>
      <c r="P190" s="59">
        <v>375.65</v>
      </c>
      <c r="Q190" s="818">
        <v>0</v>
      </c>
      <c r="R190" s="816">
        <v>0</v>
      </c>
      <c r="S190" s="817">
        <v>0</v>
      </c>
      <c r="T190" s="818">
        <v>0</v>
      </c>
      <c r="U190" s="819">
        <v>0</v>
      </c>
      <c r="V190" s="820">
        <v>0</v>
      </c>
      <c r="W190" s="820">
        <v>0</v>
      </c>
      <c r="X190" s="820">
        <v>0</v>
      </c>
      <c r="Y190" s="821">
        <v>0</v>
      </c>
      <c r="Z190" s="114" t="s">
        <v>720</v>
      </c>
      <c r="AA190" s="180" t="s">
        <v>7</v>
      </c>
      <c r="AB190" s="822" t="s">
        <v>573</v>
      </c>
      <c r="AC190" s="823" t="s">
        <v>58</v>
      </c>
      <c r="AD190" s="262" t="s">
        <v>67</v>
      </c>
      <c r="AE190" s="910" t="s">
        <v>132</v>
      </c>
      <c r="AF190" s="910"/>
    </row>
    <row r="191" spans="1:32" ht="26.4" outlineLevel="1" x14ac:dyDescent="0.25">
      <c r="A191" s="807" t="s">
        <v>436</v>
      </c>
      <c r="B191" s="808" t="s">
        <v>54</v>
      </c>
      <c r="C191" s="809" t="s">
        <v>437</v>
      </c>
      <c r="D191" s="35" t="s">
        <v>545</v>
      </c>
      <c r="E191" s="909" t="s">
        <v>289</v>
      </c>
      <c r="F191" s="910" t="s">
        <v>289</v>
      </c>
      <c r="G191" s="810">
        <v>1750</v>
      </c>
      <c r="H191" s="811">
        <v>0</v>
      </c>
      <c r="I191" s="911">
        <v>0</v>
      </c>
      <c r="J191" s="912">
        <v>0</v>
      </c>
      <c r="K191" s="824">
        <v>0</v>
      </c>
      <c r="L191" s="825">
        <f t="shared" si="29"/>
        <v>200</v>
      </c>
      <c r="M191" s="812">
        <v>0</v>
      </c>
      <c r="N191" s="813">
        <v>200</v>
      </c>
      <c r="O191" s="813">
        <f t="shared" si="26"/>
        <v>200</v>
      </c>
      <c r="P191" s="59">
        <v>400</v>
      </c>
      <c r="Q191" s="818">
        <v>1150</v>
      </c>
      <c r="R191" s="816">
        <v>0</v>
      </c>
      <c r="S191" s="817">
        <v>0</v>
      </c>
      <c r="T191" s="818">
        <v>0</v>
      </c>
      <c r="U191" s="819">
        <v>0</v>
      </c>
      <c r="V191" s="820">
        <v>0</v>
      </c>
      <c r="W191" s="820">
        <v>0</v>
      </c>
      <c r="X191" s="820">
        <v>0</v>
      </c>
      <c r="Y191" s="821">
        <v>0</v>
      </c>
      <c r="Z191" s="114" t="s">
        <v>1034</v>
      </c>
      <c r="AA191" s="180" t="s">
        <v>7</v>
      </c>
      <c r="AB191" s="822" t="s">
        <v>1035</v>
      </c>
      <c r="AC191" s="823" t="s">
        <v>58</v>
      </c>
      <c r="AD191" s="262" t="s">
        <v>67</v>
      </c>
      <c r="AE191" s="910" t="s">
        <v>132</v>
      </c>
      <c r="AF191" s="910"/>
    </row>
    <row r="192" spans="1:32" ht="46.8" outlineLevel="1" x14ac:dyDescent="0.25">
      <c r="A192" s="229" t="s">
        <v>438</v>
      </c>
      <c r="B192" s="1398" t="s">
        <v>538</v>
      </c>
      <c r="C192" s="1399" t="s">
        <v>439</v>
      </c>
      <c r="D192" s="1390" t="s">
        <v>545</v>
      </c>
      <c r="E192" s="1400" t="s">
        <v>26</v>
      </c>
      <c r="F192" s="1401" t="s">
        <v>26</v>
      </c>
      <c r="G192" s="1402">
        <v>50.018380000000001</v>
      </c>
      <c r="H192" s="1198">
        <v>50.018380000000001</v>
      </c>
      <c r="I192" s="1199">
        <v>0</v>
      </c>
      <c r="J192" s="1200">
        <v>0</v>
      </c>
      <c r="K192" s="1201">
        <v>0</v>
      </c>
      <c r="L192" s="1202">
        <f t="shared" ref="L192:L206" si="30">O192-K192</f>
        <v>0</v>
      </c>
      <c r="M192" s="1203">
        <v>0</v>
      </c>
      <c r="N192" s="839">
        <v>0</v>
      </c>
      <c r="O192" s="1589">
        <f t="shared" ref="O192:O211" si="31">M192+N192</f>
        <v>0</v>
      </c>
      <c r="P192" s="1659">
        <v>0</v>
      </c>
      <c r="Q192" s="1594">
        <v>0</v>
      </c>
      <c r="R192" s="1592">
        <v>0</v>
      </c>
      <c r="S192" s="1593">
        <v>0</v>
      </c>
      <c r="T192" s="1594">
        <v>0</v>
      </c>
      <c r="U192" s="1595">
        <v>0</v>
      </c>
      <c r="V192" s="1596">
        <v>0</v>
      </c>
      <c r="W192" s="1596">
        <v>0</v>
      </c>
      <c r="X192" s="1596">
        <v>0</v>
      </c>
      <c r="Y192" s="1597">
        <v>0</v>
      </c>
      <c r="Z192" s="1390" t="s">
        <v>1036</v>
      </c>
      <c r="AA192" s="1598" t="s">
        <v>62</v>
      </c>
      <c r="AB192" s="1599" t="s">
        <v>425</v>
      </c>
      <c r="AC192" s="1600" t="s">
        <v>59</v>
      </c>
      <c r="AD192" s="1601" t="s">
        <v>67</v>
      </c>
      <c r="AE192" s="1401" t="s">
        <v>127</v>
      </c>
      <c r="AF192" s="1401"/>
    </row>
    <row r="193" spans="1:32" ht="26.4" outlineLevel="1" x14ac:dyDescent="0.25">
      <c r="A193" s="807" t="s">
        <v>440</v>
      </c>
      <c r="B193" s="808" t="s">
        <v>54</v>
      </c>
      <c r="C193" s="809" t="s">
        <v>182</v>
      </c>
      <c r="D193" s="35" t="s">
        <v>545</v>
      </c>
      <c r="E193" s="909" t="s">
        <v>145</v>
      </c>
      <c r="F193" s="910" t="s">
        <v>145</v>
      </c>
      <c r="G193" s="810">
        <v>10562.5</v>
      </c>
      <c r="H193" s="811">
        <v>0</v>
      </c>
      <c r="I193" s="911">
        <v>0</v>
      </c>
      <c r="J193" s="912">
        <v>0</v>
      </c>
      <c r="K193" s="824">
        <v>0</v>
      </c>
      <c r="L193" s="825">
        <f t="shared" si="30"/>
        <v>0</v>
      </c>
      <c r="M193" s="812">
        <v>0</v>
      </c>
      <c r="N193" s="813">
        <v>0</v>
      </c>
      <c r="O193" s="813">
        <f t="shared" si="31"/>
        <v>0</v>
      </c>
      <c r="P193" s="59">
        <v>0</v>
      </c>
      <c r="Q193" s="818">
        <v>10562.5</v>
      </c>
      <c r="R193" s="816">
        <v>0</v>
      </c>
      <c r="S193" s="817">
        <v>0</v>
      </c>
      <c r="T193" s="818">
        <v>0</v>
      </c>
      <c r="U193" s="819">
        <v>0</v>
      </c>
      <c r="V193" s="820">
        <v>0</v>
      </c>
      <c r="W193" s="820">
        <v>0</v>
      </c>
      <c r="X193" s="820">
        <v>0</v>
      </c>
      <c r="Y193" s="821">
        <v>0</v>
      </c>
      <c r="Z193" s="114" t="s">
        <v>1037</v>
      </c>
      <c r="AA193" s="180" t="s">
        <v>7</v>
      </c>
      <c r="AB193" s="822" t="s">
        <v>721</v>
      </c>
      <c r="AC193" s="823" t="s">
        <v>58</v>
      </c>
      <c r="AD193" s="262" t="s">
        <v>68</v>
      </c>
      <c r="AE193" s="910" t="s">
        <v>340</v>
      </c>
      <c r="AF193" s="910"/>
    </row>
    <row r="194" spans="1:32" ht="31.2" outlineLevel="1" x14ac:dyDescent="0.25">
      <c r="A194" s="807" t="s">
        <v>441</v>
      </c>
      <c r="B194" s="808" t="s">
        <v>722</v>
      </c>
      <c r="C194" s="809" t="s">
        <v>463</v>
      </c>
      <c r="D194" s="35" t="s">
        <v>545</v>
      </c>
      <c r="E194" s="909" t="s">
        <v>28</v>
      </c>
      <c r="F194" s="910" t="s">
        <v>28</v>
      </c>
      <c r="G194" s="810">
        <v>18700</v>
      </c>
      <c r="H194" s="811">
        <v>0</v>
      </c>
      <c r="I194" s="911">
        <v>308.43356999999997</v>
      </c>
      <c r="J194" s="912">
        <v>0</v>
      </c>
      <c r="K194" s="824">
        <v>308.43356999999997</v>
      </c>
      <c r="L194" s="825">
        <f t="shared" si="30"/>
        <v>1.5664300000000253</v>
      </c>
      <c r="M194" s="812">
        <v>310</v>
      </c>
      <c r="N194" s="813">
        <v>0</v>
      </c>
      <c r="O194" s="813">
        <f t="shared" si="31"/>
        <v>310</v>
      </c>
      <c r="P194" s="59">
        <v>7790</v>
      </c>
      <c r="Q194" s="818">
        <v>10600</v>
      </c>
      <c r="R194" s="816">
        <v>0</v>
      </c>
      <c r="S194" s="817">
        <v>0</v>
      </c>
      <c r="T194" s="818">
        <v>0</v>
      </c>
      <c r="U194" s="819">
        <v>0</v>
      </c>
      <c r="V194" s="820">
        <v>0</v>
      </c>
      <c r="W194" s="820">
        <v>0</v>
      </c>
      <c r="X194" s="820">
        <v>0</v>
      </c>
      <c r="Y194" s="821">
        <v>0</v>
      </c>
      <c r="Z194" s="114" t="s">
        <v>1038</v>
      </c>
      <c r="AA194" s="180" t="s">
        <v>7</v>
      </c>
      <c r="AB194" s="822" t="s">
        <v>242</v>
      </c>
      <c r="AC194" s="823" t="s">
        <v>58</v>
      </c>
      <c r="AD194" s="262" t="s">
        <v>67</v>
      </c>
      <c r="AE194" s="910" t="s">
        <v>133</v>
      </c>
      <c r="AF194" s="910"/>
    </row>
    <row r="195" spans="1:32" ht="26.4" outlineLevel="1" x14ac:dyDescent="0.25">
      <c r="A195" s="828" t="s">
        <v>442</v>
      </c>
      <c r="B195" s="829" t="s">
        <v>54</v>
      </c>
      <c r="C195" s="384" t="s">
        <v>443</v>
      </c>
      <c r="D195" s="36" t="s">
        <v>545</v>
      </c>
      <c r="E195" s="902" t="s">
        <v>4</v>
      </c>
      <c r="F195" s="878" t="s">
        <v>26</v>
      </c>
      <c r="G195" s="89">
        <v>1000</v>
      </c>
      <c r="H195" s="133">
        <v>0</v>
      </c>
      <c r="I195" s="914">
        <v>0</v>
      </c>
      <c r="J195" s="915">
        <v>0</v>
      </c>
      <c r="K195" s="90">
        <v>0</v>
      </c>
      <c r="L195" s="134">
        <f t="shared" si="30"/>
        <v>0</v>
      </c>
      <c r="M195" s="96">
        <v>0</v>
      </c>
      <c r="N195" s="610">
        <v>0</v>
      </c>
      <c r="O195" s="610">
        <f t="shared" si="31"/>
        <v>0</v>
      </c>
      <c r="P195" s="59">
        <v>0</v>
      </c>
      <c r="Q195" s="58">
        <v>1000</v>
      </c>
      <c r="R195" s="604">
        <v>0</v>
      </c>
      <c r="S195" s="91">
        <v>0</v>
      </c>
      <c r="T195" s="58">
        <v>0</v>
      </c>
      <c r="U195" s="577">
        <v>0</v>
      </c>
      <c r="V195" s="602">
        <v>0</v>
      </c>
      <c r="W195" s="602">
        <v>0</v>
      </c>
      <c r="X195" s="602">
        <v>0</v>
      </c>
      <c r="Y195" s="605">
        <v>0</v>
      </c>
      <c r="Z195" s="36" t="s">
        <v>1039</v>
      </c>
      <c r="AA195" s="57" t="s">
        <v>21</v>
      </c>
      <c r="AB195" s="830" t="s">
        <v>286</v>
      </c>
      <c r="AC195" s="580" t="s">
        <v>58</v>
      </c>
      <c r="AD195" s="44" t="s">
        <v>68</v>
      </c>
      <c r="AE195" s="878" t="s">
        <v>127</v>
      </c>
      <c r="AF195" s="878"/>
    </row>
    <row r="196" spans="1:32" ht="63" outlineLevel="1" thickBot="1" x14ac:dyDescent="0.3">
      <c r="A196" s="535" t="s">
        <v>444</v>
      </c>
      <c r="B196" s="831" t="s">
        <v>723</v>
      </c>
      <c r="C196" s="832" t="s">
        <v>445</v>
      </c>
      <c r="D196" s="51" t="s">
        <v>545</v>
      </c>
      <c r="E196" s="904" t="s">
        <v>172</v>
      </c>
      <c r="F196" s="905" t="s">
        <v>172</v>
      </c>
      <c r="G196" s="97">
        <v>263000</v>
      </c>
      <c r="H196" s="136">
        <v>0</v>
      </c>
      <c r="I196" s="916">
        <v>123.752</v>
      </c>
      <c r="J196" s="917">
        <v>0</v>
      </c>
      <c r="K196" s="99">
        <v>123.75200000000041</v>
      </c>
      <c r="L196" s="137">
        <f t="shared" si="30"/>
        <v>330</v>
      </c>
      <c r="M196" s="638">
        <v>453.75200000000041</v>
      </c>
      <c r="N196" s="637">
        <v>0</v>
      </c>
      <c r="O196" s="637">
        <f t="shared" si="31"/>
        <v>453.75200000000041</v>
      </c>
      <c r="P196" s="66">
        <v>0</v>
      </c>
      <c r="Q196" s="100">
        <v>262546.24800000002</v>
      </c>
      <c r="R196" s="674">
        <v>0</v>
      </c>
      <c r="S196" s="101">
        <v>0</v>
      </c>
      <c r="T196" s="100">
        <v>0</v>
      </c>
      <c r="U196" s="591">
        <v>0</v>
      </c>
      <c r="V196" s="640">
        <v>0</v>
      </c>
      <c r="W196" s="640">
        <v>0</v>
      </c>
      <c r="X196" s="640">
        <v>0</v>
      </c>
      <c r="Y196" s="641">
        <v>0</v>
      </c>
      <c r="Z196" s="51" t="s">
        <v>1040</v>
      </c>
      <c r="AA196" s="135" t="s">
        <v>7</v>
      </c>
      <c r="AB196" s="833" t="s">
        <v>242</v>
      </c>
      <c r="AC196" s="599" t="s">
        <v>58</v>
      </c>
      <c r="AD196" s="107" t="s">
        <v>68</v>
      </c>
      <c r="AE196" s="905" t="s">
        <v>126</v>
      </c>
      <c r="AF196" s="905"/>
    </row>
    <row r="197" spans="1:32" ht="31.2" outlineLevel="1" x14ac:dyDescent="0.25">
      <c r="A197" s="229" t="s">
        <v>478</v>
      </c>
      <c r="B197" s="1398" t="s">
        <v>724</v>
      </c>
      <c r="C197" s="1399" t="s">
        <v>479</v>
      </c>
      <c r="D197" s="1390" t="s">
        <v>552</v>
      </c>
      <c r="E197" s="1400" t="s">
        <v>180</v>
      </c>
      <c r="F197" s="1401" t="s">
        <v>180</v>
      </c>
      <c r="G197" s="1402">
        <v>1396.1000000000001</v>
      </c>
      <c r="H197" s="1198">
        <v>0</v>
      </c>
      <c r="I197" s="1199">
        <v>1396.1000000000001</v>
      </c>
      <c r="J197" s="1200">
        <v>0</v>
      </c>
      <c r="K197" s="1201">
        <v>1396.1000000000001</v>
      </c>
      <c r="L197" s="1202">
        <f t="shared" si="30"/>
        <v>0</v>
      </c>
      <c r="M197" s="1203">
        <v>7500</v>
      </c>
      <c r="N197" s="230">
        <v>-6103.9</v>
      </c>
      <c r="O197" s="1589">
        <f t="shared" si="31"/>
        <v>1396.1000000000004</v>
      </c>
      <c r="P197" s="1659">
        <v>0</v>
      </c>
      <c r="Q197" s="1594">
        <v>0</v>
      </c>
      <c r="R197" s="1592">
        <v>0</v>
      </c>
      <c r="S197" s="1593">
        <v>0</v>
      </c>
      <c r="T197" s="1594">
        <v>0</v>
      </c>
      <c r="U197" s="1595">
        <v>0</v>
      </c>
      <c r="V197" s="1596">
        <v>0</v>
      </c>
      <c r="W197" s="1596">
        <v>0</v>
      </c>
      <c r="X197" s="1596">
        <v>0</v>
      </c>
      <c r="Y197" s="1597">
        <v>0</v>
      </c>
      <c r="Z197" s="1394" t="s">
        <v>1041</v>
      </c>
      <c r="AA197" s="1598" t="s">
        <v>62</v>
      </c>
      <c r="AB197" s="1599" t="s">
        <v>330</v>
      </c>
      <c r="AC197" s="1600" t="s">
        <v>59</v>
      </c>
      <c r="AD197" s="1601" t="s">
        <v>67</v>
      </c>
      <c r="AE197" s="1401" t="s">
        <v>124</v>
      </c>
      <c r="AF197" s="1401"/>
    </row>
    <row r="198" spans="1:32" ht="31.2" outlineLevel="1" x14ac:dyDescent="0.25">
      <c r="A198" s="807" t="s">
        <v>480</v>
      </c>
      <c r="B198" s="808" t="s">
        <v>725</v>
      </c>
      <c r="C198" s="809" t="s">
        <v>481</v>
      </c>
      <c r="D198" s="36" t="s">
        <v>552</v>
      </c>
      <c r="E198" s="909" t="s">
        <v>180</v>
      </c>
      <c r="F198" s="910" t="s">
        <v>180</v>
      </c>
      <c r="G198" s="810">
        <v>4000</v>
      </c>
      <c r="H198" s="811">
        <v>0</v>
      </c>
      <c r="I198" s="911">
        <v>431.46000000000004</v>
      </c>
      <c r="J198" s="912">
        <v>0</v>
      </c>
      <c r="K198" s="824">
        <v>431.46000000000004</v>
      </c>
      <c r="L198" s="825">
        <f t="shared" si="30"/>
        <v>0</v>
      </c>
      <c r="M198" s="812">
        <v>4000</v>
      </c>
      <c r="N198" s="813">
        <v>-3568.54</v>
      </c>
      <c r="O198" s="813">
        <f t="shared" si="31"/>
        <v>431.46000000000004</v>
      </c>
      <c r="P198" s="59">
        <v>3568.54</v>
      </c>
      <c r="Q198" s="818">
        <v>0</v>
      </c>
      <c r="R198" s="816">
        <v>0</v>
      </c>
      <c r="S198" s="817">
        <v>0</v>
      </c>
      <c r="T198" s="818">
        <v>0</v>
      </c>
      <c r="U198" s="819">
        <v>0</v>
      </c>
      <c r="V198" s="820">
        <v>0</v>
      </c>
      <c r="W198" s="820">
        <v>0</v>
      </c>
      <c r="X198" s="820">
        <v>0</v>
      </c>
      <c r="Y198" s="821">
        <v>0</v>
      </c>
      <c r="Z198" s="114" t="s">
        <v>1042</v>
      </c>
      <c r="AA198" s="180" t="s">
        <v>5</v>
      </c>
      <c r="AB198" s="822" t="s">
        <v>674</v>
      </c>
      <c r="AC198" s="823" t="s">
        <v>58</v>
      </c>
      <c r="AD198" s="262" t="s">
        <v>67</v>
      </c>
      <c r="AE198" s="910" t="s">
        <v>124</v>
      </c>
      <c r="AF198" s="910"/>
    </row>
    <row r="199" spans="1:32" ht="26.4" outlineLevel="1" x14ac:dyDescent="0.25">
      <c r="A199" s="222" t="s">
        <v>482</v>
      </c>
      <c r="B199" s="1431" t="s">
        <v>647</v>
      </c>
      <c r="C199" s="1432" t="s">
        <v>483</v>
      </c>
      <c r="D199" s="1390" t="s">
        <v>552</v>
      </c>
      <c r="E199" s="1433" t="s">
        <v>23</v>
      </c>
      <c r="F199" s="1434" t="s">
        <v>23</v>
      </c>
      <c r="G199" s="1435">
        <v>88.349369999999993</v>
      </c>
      <c r="H199" s="1239">
        <v>88.349369999999993</v>
      </c>
      <c r="I199" s="1240">
        <v>0</v>
      </c>
      <c r="J199" s="1241">
        <v>0</v>
      </c>
      <c r="K199" s="1242">
        <v>0</v>
      </c>
      <c r="L199" s="1243">
        <f t="shared" si="30"/>
        <v>0</v>
      </c>
      <c r="M199" s="1194">
        <v>11.650630000000007</v>
      </c>
      <c r="N199" s="223">
        <v>-11.65063</v>
      </c>
      <c r="O199" s="1673">
        <f t="shared" si="31"/>
        <v>0</v>
      </c>
      <c r="P199" s="1659">
        <v>0</v>
      </c>
      <c r="Q199" s="1674">
        <v>0</v>
      </c>
      <c r="R199" s="1675">
        <v>0</v>
      </c>
      <c r="S199" s="1676">
        <v>0</v>
      </c>
      <c r="T199" s="1674">
        <v>0</v>
      </c>
      <c r="U199" s="1269">
        <v>0</v>
      </c>
      <c r="V199" s="1271">
        <v>0</v>
      </c>
      <c r="W199" s="1271">
        <v>0</v>
      </c>
      <c r="X199" s="1271">
        <v>0</v>
      </c>
      <c r="Y199" s="1279">
        <v>0</v>
      </c>
      <c r="Z199" s="1390" t="s">
        <v>243</v>
      </c>
      <c r="AA199" s="1677" t="s">
        <v>62</v>
      </c>
      <c r="AB199" s="1678" t="s">
        <v>330</v>
      </c>
      <c r="AC199" s="1679" t="s">
        <v>59</v>
      </c>
      <c r="AD199" s="1540" t="s">
        <v>67</v>
      </c>
      <c r="AE199" s="1434" t="s">
        <v>119</v>
      </c>
      <c r="AF199" s="1434"/>
    </row>
    <row r="200" spans="1:32" ht="31.2" outlineLevel="1" x14ac:dyDescent="0.25">
      <c r="A200" s="807" t="s">
        <v>484</v>
      </c>
      <c r="B200" s="808" t="s">
        <v>727</v>
      </c>
      <c r="C200" s="809" t="s">
        <v>485</v>
      </c>
      <c r="D200" s="36" t="s">
        <v>552</v>
      </c>
      <c r="E200" s="909" t="s">
        <v>23</v>
      </c>
      <c r="F200" s="910" t="s">
        <v>23</v>
      </c>
      <c r="G200" s="810">
        <v>225017.8</v>
      </c>
      <c r="H200" s="811">
        <v>0</v>
      </c>
      <c r="I200" s="911">
        <v>65.823999999999998</v>
      </c>
      <c r="J200" s="912">
        <v>0</v>
      </c>
      <c r="K200" s="824">
        <v>65.823999999999998</v>
      </c>
      <c r="L200" s="825">
        <f t="shared" si="30"/>
        <v>218</v>
      </c>
      <c r="M200" s="812">
        <v>283.82400000000001</v>
      </c>
      <c r="N200" s="813">
        <v>0</v>
      </c>
      <c r="O200" s="813">
        <f t="shared" si="31"/>
        <v>283.82400000000001</v>
      </c>
      <c r="P200" s="59">
        <v>0</v>
      </c>
      <c r="Q200" s="818">
        <v>224733.976</v>
      </c>
      <c r="R200" s="816">
        <v>0</v>
      </c>
      <c r="S200" s="817">
        <v>0</v>
      </c>
      <c r="T200" s="818">
        <v>0</v>
      </c>
      <c r="U200" s="819">
        <v>0</v>
      </c>
      <c r="V200" s="820">
        <v>0</v>
      </c>
      <c r="W200" s="820">
        <v>0</v>
      </c>
      <c r="X200" s="820">
        <v>0</v>
      </c>
      <c r="Y200" s="821">
        <v>0</v>
      </c>
      <c r="Z200" s="114" t="s">
        <v>1043</v>
      </c>
      <c r="AA200" s="180" t="s">
        <v>7</v>
      </c>
      <c r="AB200" s="822" t="s">
        <v>286</v>
      </c>
      <c r="AC200" s="823" t="s">
        <v>58</v>
      </c>
      <c r="AD200" s="262" t="s">
        <v>66</v>
      </c>
      <c r="AE200" s="910" t="s">
        <v>119</v>
      </c>
      <c r="AF200" s="910"/>
    </row>
    <row r="201" spans="1:32" ht="26.4" outlineLevel="1" x14ac:dyDescent="0.25">
      <c r="A201" s="229" t="s">
        <v>486</v>
      </c>
      <c r="B201" s="1398" t="s">
        <v>648</v>
      </c>
      <c r="C201" s="1399" t="s">
        <v>487</v>
      </c>
      <c r="D201" s="1390" t="s">
        <v>552</v>
      </c>
      <c r="E201" s="1400" t="s">
        <v>23</v>
      </c>
      <c r="F201" s="1401" t="s">
        <v>23</v>
      </c>
      <c r="G201" s="1402">
        <v>119.79</v>
      </c>
      <c r="H201" s="1198">
        <v>35.090000000000003</v>
      </c>
      <c r="I201" s="1199">
        <v>84.7</v>
      </c>
      <c r="J201" s="1200">
        <v>0</v>
      </c>
      <c r="K201" s="1201">
        <v>84.7</v>
      </c>
      <c r="L201" s="1202">
        <f t="shared" si="30"/>
        <v>-1.8474111129762605E-13</v>
      </c>
      <c r="M201" s="1203">
        <v>84.699999999999818</v>
      </c>
      <c r="N201" s="230">
        <v>0</v>
      </c>
      <c r="O201" s="1589">
        <f t="shared" si="31"/>
        <v>84.699999999999818</v>
      </c>
      <c r="P201" s="1659">
        <v>0</v>
      </c>
      <c r="Q201" s="1594">
        <v>0</v>
      </c>
      <c r="R201" s="1592">
        <v>0</v>
      </c>
      <c r="S201" s="1593">
        <v>0</v>
      </c>
      <c r="T201" s="1594">
        <v>0</v>
      </c>
      <c r="U201" s="1595">
        <v>0</v>
      </c>
      <c r="V201" s="1596">
        <v>0</v>
      </c>
      <c r="W201" s="1596">
        <v>0</v>
      </c>
      <c r="X201" s="1596">
        <v>0</v>
      </c>
      <c r="Y201" s="1597">
        <v>0</v>
      </c>
      <c r="Z201" s="1394" t="s">
        <v>1044</v>
      </c>
      <c r="AA201" s="1598" t="s">
        <v>62</v>
      </c>
      <c r="AB201" s="1599" t="s">
        <v>330</v>
      </c>
      <c r="AC201" s="1600" t="s">
        <v>59</v>
      </c>
      <c r="AD201" s="1601" t="s">
        <v>67</v>
      </c>
      <c r="AE201" s="1401" t="s">
        <v>119</v>
      </c>
      <c r="AF201" s="1401"/>
    </row>
    <row r="202" spans="1:32" ht="31.2" outlineLevel="1" x14ac:dyDescent="0.25">
      <c r="A202" s="229" t="s">
        <v>489</v>
      </c>
      <c r="B202" s="1398" t="s">
        <v>728</v>
      </c>
      <c r="C202" s="1399" t="s">
        <v>488</v>
      </c>
      <c r="D202" s="1390" t="s">
        <v>552</v>
      </c>
      <c r="E202" s="1400" t="s">
        <v>23</v>
      </c>
      <c r="F202" s="1401" t="s">
        <v>23</v>
      </c>
      <c r="G202" s="1402">
        <v>750.2</v>
      </c>
      <c r="H202" s="1239">
        <v>0</v>
      </c>
      <c r="I202" s="1240">
        <v>750.2</v>
      </c>
      <c r="J202" s="1241">
        <v>0</v>
      </c>
      <c r="K202" s="1242">
        <v>750.2</v>
      </c>
      <c r="L202" s="1202">
        <f t="shared" si="30"/>
        <v>0</v>
      </c>
      <c r="M202" s="1203">
        <v>1000.3</v>
      </c>
      <c r="N202" s="230">
        <v>-250.1</v>
      </c>
      <c r="O202" s="1589">
        <f t="shared" si="31"/>
        <v>750.19999999999993</v>
      </c>
      <c r="P202" s="1659">
        <v>0</v>
      </c>
      <c r="Q202" s="1594">
        <v>0</v>
      </c>
      <c r="R202" s="1592">
        <v>0</v>
      </c>
      <c r="S202" s="1593">
        <v>0</v>
      </c>
      <c r="T202" s="1594">
        <v>0</v>
      </c>
      <c r="U202" s="1595">
        <v>0</v>
      </c>
      <c r="V202" s="1596">
        <v>0</v>
      </c>
      <c r="W202" s="1596">
        <v>0</v>
      </c>
      <c r="X202" s="1596">
        <v>0</v>
      </c>
      <c r="Y202" s="1597">
        <v>0</v>
      </c>
      <c r="Z202" s="1394" t="s">
        <v>1045</v>
      </c>
      <c r="AA202" s="1598" t="s">
        <v>62</v>
      </c>
      <c r="AB202" s="1599" t="s">
        <v>425</v>
      </c>
      <c r="AC202" s="1600" t="s">
        <v>58</v>
      </c>
      <c r="AD202" s="1601" t="s">
        <v>66</v>
      </c>
      <c r="AE202" s="1401" t="s">
        <v>119</v>
      </c>
      <c r="AF202" s="1401"/>
    </row>
    <row r="203" spans="1:32" ht="26.4" outlineLevel="1" x14ac:dyDescent="0.25">
      <c r="A203" s="1776" t="s">
        <v>491</v>
      </c>
      <c r="B203" s="1777" t="s">
        <v>726</v>
      </c>
      <c r="C203" s="1778" t="s">
        <v>490</v>
      </c>
      <c r="D203" s="1779" t="s">
        <v>552</v>
      </c>
      <c r="E203" s="1780" t="s">
        <v>145</v>
      </c>
      <c r="F203" s="1781" t="s">
        <v>145</v>
      </c>
      <c r="G203" s="1782">
        <f>702.3687+145.2</f>
        <v>847.56870000000004</v>
      </c>
      <c r="H203" s="1783">
        <v>0</v>
      </c>
      <c r="I203" s="1784">
        <v>702.36869999999999</v>
      </c>
      <c r="J203" s="1785">
        <v>145.19999999999999</v>
      </c>
      <c r="K203" s="1786">
        <v>702.36869999999999</v>
      </c>
      <c r="L203" s="1787">
        <f t="shared" si="30"/>
        <v>145.20000000000005</v>
      </c>
      <c r="M203" s="1788">
        <v>702.36869999999999</v>
      </c>
      <c r="N203" s="1789">
        <f>0+145.2</f>
        <v>145.19999999999999</v>
      </c>
      <c r="O203" s="1789">
        <f t="shared" si="31"/>
        <v>847.56870000000004</v>
      </c>
      <c r="P203" s="1790">
        <v>0</v>
      </c>
      <c r="Q203" s="1791">
        <v>0</v>
      </c>
      <c r="R203" s="1792">
        <v>0</v>
      </c>
      <c r="S203" s="1793">
        <v>0</v>
      </c>
      <c r="T203" s="1791">
        <v>0</v>
      </c>
      <c r="U203" s="1794">
        <v>0</v>
      </c>
      <c r="V203" s="1795">
        <v>0</v>
      </c>
      <c r="W203" s="1795">
        <v>0</v>
      </c>
      <c r="X203" s="1795">
        <v>0</v>
      </c>
      <c r="Y203" s="1796">
        <v>0</v>
      </c>
      <c r="Z203" s="1779" t="s">
        <v>1164</v>
      </c>
      <c r="AA203" s="1797" t="s">
        <v>62</v>
      </c>
      <c r="AB203" s="1798" t="s">
        <v>719</v>
      </c>
      <c r="AC203" s="1799" t="s">
        <v>58</v>
      </c>
      <c r="AD203" s="1800" t="s">
        <v>68</v>
      </c>
      <c r="AE203" s="1781" t="s">
        <v>340</v>
      </c>
      <c r="AF203" s="1781"/>
    </row>
    <row r="204" spans="1:32" ht="31.2" outlineLevel="1" x14ac:dyDescent="0.25">
      <c r="A204" s="807" t="s">
        <v>493</v>
      </c>
      <c r="B204" s="808" t="s">
        <v>54</v>
      </c>
      <c r="C204" s="809" t="s">
        <v>492</v>
      </c>
      <c r="D204" s="36" t="s">
        <v>552</v>
      </c>
      <c r="E204" s="909" t="s">
        <v>31</v>
      </c>
      <c r="F204" s="910" t="s">
        <v>31</v>
      </c>
      <c r="G204" s="810">
        <v>31200</v>
      </c>
      <c r="H204" s="811">
        <v>0</v>
      </c>
      <c r="I204" s="911">
        <v>0</v>
      </c>
      <c r="J204" s="912">
        <v>0</v>
      </c>
      <c r="K204" s="824">
        <v>0</v>
      </c>
      <c r="L204" s="825">
        <f t="shared" si="30"/>
        <v>0</v>
      </c>
      <c r="M204" s="812">
        <v>0</v>
      </c>
      <c r="N204" s="813">
        <v>0</v>
      </c>
      <c r="O204" s="813">
        <f t="shared" si="31"/>
        <v>0</v>
      </c>
      <c r="P204" s="59">
        <v>0</v>
      </c>
      <c r="Q204" s="818">
        <v>31200</v>
      </c>
      <c r="R204" s="816">
        <v>0</v>
      </c>
      <c r="S204" s="817">
        <v>0</v>
      </c>
      <c r="T204" s="818">
        <v>0</v>
      </c>
      <c r="U204" s="819">
        <v>0</v>
      </c>
      <c r="V204" s="820">
        <v>0</v>
      </c>
      <c r="W204" s="820">
        <v>0</v>
      </c>
      <c r="X204" s="820">
        <v>0</v>
      </c>
      <c r="Y204" s="821">
        <v>0</v>
      </c>
      <c r="Z204" s="77" t="s">
        <v>1046</v>
      </c>
      <c r="AA204" s="180" t="s">
        <v>7</v>
      </c>
      <c r="AB204" s="822" t="s">
        <v>584</v>
      </c>
      <c r="AC204" s="823" t="s">
        <v>58</v>
      </c>
      <c r="AD204" s="262" t="s">
        <v>67</v>
      </c>
      <c r="AE204" s="910" t="s">
        <v>133</v>
      </c>
      <c r="AF204" s="910"/>
    </row>
    <row r="205" spans="1:32" ht="47.4" outlineLevel="1" thickBot="1" x14ac:dyDescent="0.3">
      <c r="A205" s="834" t="s">
        <v>499</v>
      </c>
      <c r="B205" s="835" t="s">
        <v>54</v>
      </c>
      <c r="C205" s="836" t="s">
        <v>494</v>
      </c>
      <c r="D205" s="170" t="s">
        <v>552</v>
      </c>
      <c r="E205" s="322" t="s">
        <v>81</v>
      </c>
      <c r="F205" s="277" t="s">
        <v>81</v>
      </c>
      <c r="G205" s="837">
        <v>0</v>
      </c>
      <c r="H205" s="1069">
        <v>0</v>
      </c>
      <c r="I205" s="1070">
        <v>0</v>
      </c>
      <c r="J205" s="1071">
        <v>0</v>
      </c>
      <c r="K205" s="1072">
        <v>0</v>
      </c>
      <c r="L205" s="1073">
        <f t="shared" si="30"/>
        <v>0</v>
      </c>
      <c r="M205" s="778">
        <v>0</v>
      </c>
      <c r="N205" s="1074">
        <v>0</v>
      </c>
      <c r="O205" s="1074">
        <f t="shared" si="31"/>
        <v>0</v>
      </c>
      <c r="P205" s="270">
        <v>0</v>
      </c>
      <c r="Q205" s="273">
        <v>0</v>
      </c>
      <c r="R205" s="271">
        <v>0</v>
      </c>
      <c r="S205" s="272">
        <v>0</v>
      </c>
      <c r="T205" s="273">
        <v>0</v>
      </c>
      <c r="U205" s="264">
        <v>0</v>
      </c>
      <c r="V205" s="274">
        <v>0</v>
      </c>
      <c r="W205" s="274">
        <v>0</v>
      </c>
      <c r="X205" s="274">
        <v>0</v>
      </c>
      <c r="Y205" s="1075">
        <v>0</v>
      </c>
      <c r="Z205" s="170" t="s">
        <v>1047</v>
      </c>
      <c r="AA205" s="275" t="s">
        <v>60</v>
      </c>
      <c r="AB205" s="838" t="s">
        <v>330</v>
      </c>
      <c r="AC205" s="276" t="s">
        <v>58</v>
      </c>
      <c r="AD205" s="175" t="s">
        <v>66</v>
      </c>
      <c r="AE205" s="277" t="s">
        <v>132</v>
      </c>
      <c r="AF205" s="277"/>
    </row>
    <row r="206" spans="1:32" ht="31.2" outlineLevel="1" x14ac:dyDescent="0.25">
      <c r="A206" s="220" t="s">
        <v>539</v>
      </c>
      <c r="B206" s="1436" t="s">
        <v>671</v>
      </c>
      <c r="C206" s="1437" t="s">
        <v>540</v>
      </c>
      <c r="D206" s="1333" t="s">
        <v>579</v>
      </c>
      <c r="E206" s="1388" t="s">
        <v>81</v>
      </c>
      <c r="F206" s="1335" t="s">
        <v>81</v>
      </c>
      <c r="G206" s="1438">
        <v>760.52855999999997</v>
      </c>
      <c r="H206" s="1244">
        <v>0</v>
      </c>
      <c r="I206" s="1245">
        <v>760.52855999999997</v>
      </c>
      <c r="J206" s="1246">
        <v>0</v>
      </c>
      <c r="K206" s="1247">
        <v>760.52855999999997</v>
      </c>
      <c r="L206" s="1248">
        <f t="shared" si="30"/>
        <v>0</v>
      </c>
      <c r="M206" s="1196">
        <v>1077</v>
      </c>
      <c r="N206" s="221">
        <v>-316.47143999999997</v>
      </c>
      <c r="O206" s="1680">
        <f t="shared" si="31"/>
        <v>760.52855999999997</v>
      </c>
      <c r="P206" s="1681">
        <v>0</v>
      </c>
      <c r="Q206" s="1682">
        <v>0</v>
      </c>
      <c r="R206" s="1683">
        <v>0</v>
      </c>
      <c r="S206" s="1684">
        <v>0</v>
      </c>
      <c r="T206" s="1682">
        <v>0</v>
      </c>
      <c r="U206" s="1264">
        <v>0</v>
      </c>
      <c r="V206" s="1579">
        <v>0</v>
      </c>
      <c r="W206" s="1579">
        <v>0</v>
      </c>
      <c r="X206" s="1579">
        <v>0</v>
      </c>
      <c r="Y206" s="1577">
        <v>0</v>
      </c>
      <c r="Z206" s="1333" t="s">
        <v>1048</v>
      </c>
      <c r="AA206" s="1685" t="s">
        <v>62</v>
      </c>
      <c r="AB206" s="1686" t="s">
        <v>425</v>
      </c>
      <c r="AC206" s="1687" t="s">
        <v>59</v>
      </c>
      <c r="AD206" s="1505" t="s">
        <v>67</v>
      </c>
      <c r="AE206" s="1335" t="s">
        <v>132</v>
      </c>
      <c r="AF206" s="1335"/>
    </row>
    <row r="207" spans="1:32" ht="46.8" outlineLevel="1" x14ac:dyDescent="0.25">
      <c r="A207" s="828" t="s">
        <v>541</v>
      </c>
      <c r="B207" s="829" t="s">
        <v>54</v>
      </c>
      <c r="C207" s="384" t="s">
        <v>542</v>
      </c>
      <c r="D207" s="36" t="s">
        <v>579</v>
      </c>
      <c r="E207" s="902" t="s">
        <v>26</v>
      </c>
      <c r="F207" s="878" t="s">
        <v>26</v>
      </c>
      <c r="G207" s="89">
        <v>32745.831999999999</v>
      </c>
      <c r="H207" s="133">
        <v>0</v>
      </c>
      <c r="I207" s="914">
        <v>0</v>
      </c>
      <c r="J207" s="915">
        <v>0</v>
      </c>
      <c r="K207" s="90">
        <v>0</v>
      </c>
      <c r="L207" s="134">
        <f t="shared" ref="L207:L211" si="32">O207-K207</f>
        <v>0</v>
      </c>
      <c r="M207" s="96">
        <v>0</v>
      </c>
      <c r="N207" s="610">
        <v>0</v>
      </c>
      <c r="O207" s="610">
        <f t="shared" si="31"/>
        <v>0</v>
      </c>
      <c r="P207" s="59">
        <v>0</v>
      </c>
      <c r="Q207" s="58">
        <v>32745.831999999999</v>
      </c>
      <c r="R207" s="604">
        <v>0</v>
      </c>
      <c r="S207" s="91">
        <v>0</v>
      </c>
      <c r="T207" s="58">
        <v>0</v>
      </c>
      <c r="U207" s="577">
        <v>0</v>
      </c>
      <c r="V207" s="602">
        <v>0</v>
      </c>
      <c r="W207" s="602">
        <v>0</v>
      </c>
      <c r="X207" s="602">
        <v>0</v>
      </c>
      <c r="Y207" s="605">
        <v>0</v>
      </c>
      <c r="Z207" s="36" t="s">
        <v>1049</v>
      </c>
      <c r="AA207" s="57" t="s">
        <v>7</v>
      </c>
      <c r="AB207" s="830" t="s">
        <v>721</v>
      </c>
      <c r="AC207" s="580" t="s">
        <v>58</v>
      </c>
      <c r="AD207" s="44" t="s">
        <v>67</v>
      </c>
      <c r="AE207" s="878" t="s">
        <v>127</v>
      </c>
      <c r="AF207" s="878"/>
    </row>
    <row r="208" spans="1:32" ht="31.8" outlineLevel="1" thickBot="1" x14ac:dyDescent="0.3">
      <c r="A208" s="535" t="s">
        <v>543</v>
      </c>
      <c r="B208" s="831" t="s">
        <v>54</v>
      </c>
      <c r="C208" s="832" t="s">
        <v>544</v>
      </c>
      <c r="D208" s="51" t="s">
        <v>579</v>
      </c>
      <c r="E208" s="904" t="s">
        <v>181</v>
      </c>
      <c r="F208" s="905" t="s">
        <v>181</v>
      </c>
      <c r="G208" s="97">
        <v>49888.3</v>
      </c>
      <c r="H208" s="136">
        <v>0</v>
      </c>
      <c r="I208" s="916">
        <v>0</v>
      </c>
      <c r="J208" s="917">
        <v>0</v>
      </c>
      <c r="K208" s="99">
        <v>0</v>
      </c>
      <c r="L208" s="137">
        <f t="shared" si="32"/>
        <v>0</v>
      </c>
      <c r="M208" s="638">
        <v>0</v>
      </c>
      <c r="N208" s="637">
        <v>0</v>
      </c>
      <c r="O208" s="637">
        <f t="shared" si="31"/>
        <v>0</v>
      </c>
      <c r="P208" s="66">
        <v>0</v>
      </c>
      <c r="Q208" s="100">
        <v>49888.3</v>
      </c>
      <c r="R208" s="674">
        <v>0</v>
      </c>
      <c r="S208" s="101">
        <v>0</v>
      </c>
      <c r="T208" s="100">
        <v>0</v>
      </c>
      <c r="U208" s="591">
        <v>0</v>
      </c>
      <c r="V208" s="640">
        <v>0</v>
      </c>
      <c r="W208" s="677">
        <v>0</v>
      </c>
      <c r="X208" s="640">
        <v>0</v>
      </c>
      <c r="Y208" s="641">
        <v>0</v>
      </c>
      <c r="Z208" s="51" t="s">
        <v>1050</v>
      </c>
      <c r="AA208" s="135" t="s">
        <v>7</v>
      </c>
      <c r="AB208" s="833" t="s">
        <v>285</v>
      </c>
      <c r="AC208" s="599" t="s">
        <v>58</v>
      </c>
      <c r="AD208" s="107" t="s">
        <v>68</v>
      </c>
      <c r="AE208" s="905" t="s">
        <v>130</v>
      </c>
      <c r="AF208" s="905"/>
    </row>
    <row r="209" spans="1:32" ht="26.4" outlineLevel="1" x14ac:dyDescent="0.25">
      <c r="A209" s="798" t="s">
        <v>631</v>
      </c>
      <c r="B209" s="799" t="s">
        <v>658</v>
      </c>
      <c r="C209" s="373" t="s">
        <v>632</v>
      </c>
      <c r="D209" s="35" t="s">
        <v>664</v>
      </c>
      <c r="E209" s="868" t="s">
        <v>24</v>
      </c>
      <c r="F209" s="869" t="s">
        <v>24</v>
      </c>
      <c r="G209" s="84">
        <v>14160</v>
      </c>
      <c r="H209" s="800">
        <v>20</v>
      </c>
      <c r="I209" s="907">
        <v>0</v>
      </c>
      <c r="J209" s="908">
        <v>40</v>
      </c>
      <c r="K209" s="801">
        <v>0</v>
      </c>
      <c r="L209" s="802">
        <f t="shared" si="32"/>
        <v>5080</v>
      </c>
      <c r="M209" s="612">
        <v>7500</v>
      </c>
      <c r="N209" s="601">
        <v>-2420</v>
      </c>
      <c r="O209" s="601">
        <f t="shared" si="31"/>
        <v>5080</v>
      </c>
      <c r="P209" s="56">
        <v>9060</v>
      </c>
      <c r="Q209" s="667">
        <v>0</v>
      </c>
      <c r="R209" s="665">
        <v>0</v>
      </c>
      <c r="S209" s="666">
        <v>0</v>
      </c>
      <c r="T209" s="667">
        <v>0</v>
      </c>
      <c r="U209" s="544">
        <v>0</v>
      </c>
      <c r="V209" s="614">
        <v>0</v>
      </c>
      <c r="W209" s="614">
        <v>0</v>
      </c>
      <c r="X209" s="614">
        <v>0</v>
      </c>
      <c r="Y209" s="615">
        <v>0</v>
      </c>
      <c r="Z209" s="35" t="s">
        <v>1051</v>
      </c>
      <c r="AA209" s="34" t="s">
        <v>9</v>
      </c>
      <c r="AB209" s="803" t="s">
        <v>285</v>
      </c>
      <c r="AC209" s="548" t="s">
        <v>59</v>
      </c>
      <c r="AD209" s="109" t="s">
        <v>67</v>
      </c>
      <c r="AE209" s="869" t="s">
        <v>124</v>
      </c>
      <c r="AF209" s="869"/>
    </row>
    <row r="210" spans="1:32" ht="31.8" outlineLevel="1" thickBot="1" x14ac:dyDescent="0.3">
      <c r="A210" s="535" t="s">
        <v>809</v>
      </c>
      <c r="B210" s="831" t="s">
        <v>54</v>
      </c>
      <c r="C210" s="832" t="s">
        <v>810</v>
      </c>
      <c r="D210" s="51" t="s">
        <v>826</v>
      </c>
      <c r="E210" s="904" t="s">
        <v>26</v>
      </c>
      <c r="F210" s="905" t="s">
        <v>26</v>
      </c>
      <c r="G210" s="97">
        <f>112000+21936.632</f>
        <v>133936.63200000001</v>
      </c>
      <c r="H210" s="136">
        <v>0</v>
      </c>
      <c r="I210" s="916">
        <v>0</v>
      </c>
      <c r="J210" s="917">
        <v>0</v>
      </c>
      <c r="K210" s="99">
        <v>0</v>
      </c>
      <c r="L210" s="137">
        <f t="shared" si="32"/>
        <v>300</v>
      </c>
      <c r="M210" s="638">
        <v>300</v>
      </c>
      <c r="N210" s="637">
        <v>0</v>
      </c>
      <c r="O210" s="637">
        <f t="shared" si="31"/>
        <v>300</v>
      </c>
      <c r="P210" s="66">
        <v>10000</v>
      </c>
      <c r="Q210" s="100">
        <f>G210-M210-10000</f>
        <v>123636.63200000001</v>
      </c>
      <c r="R210" s="674">
        <v>0</v>
      </c>
      <c r="S210" s="101">
        <v>0</v>
      </c>
      <c r="T210" s="100">
        <v>0</v>
      </c>
      <c r="U210" s="591">
        <v>0</v>
      </c>
      <c r="V210" s="640">
        <v>0</v>
      </c>
      <c r="W210" s="640">
        <v>0</v>
      </c>
      <c r="X210" s="640">
        <v>0</v>
      </c>
      <c r="Y210" s="641">
        <v>0</v>
      </c>
      <c r="Z210" s="51" t="s">
        <v>1052</v>
      </c>
      <c r="AA210" s="135" t="s">
        <v>7</v>
      </c>
      <c r="AB210" s="833" t="s">
        <v>573</v>
      </c>
      <c r="AC210" s="599" t="s">
        <v>58</v>
      </c>
      <c r="AD210" s="107" t="s">
        <v>68</v>
      </c>
      <c r="AE210" s="905" t="s">
        <v>127</v>
      </c>
      <c r="AF210" s="905"/>
    </row>
    <row r="211" spans="1:32" ht="32.25" customHeight="1" outlineLevel="1" x14ac:dyDescent="0.25">
      <c r="A211" s="1744" t="s">
        <v>1053</v>
      </c>
      <c r="B211" s="1745" t="s">
        <v>54</v>
      </c>
      <c r="C211" s="1746" t="s">
        <v>1054</v>
      </c>
      <c r="D211" s="26" t="s">
        <v>54</v>
      </c>
      <c r="E211" s="1747" t="s">
        <v>31</v>
      </c>
      <c r="F211" s="1748" t="s">
        <v>31</v>
      </c>
      <c r="G211" s="1749">
        <v>1426.59</v>
      </c>
      <c r="H211" s="1750">
        <v>0</v>
      </c>
      <c r="I211" s="1751">
        <v>0</v>
      </c>
      <c r="J211" s="1752">
        <v>0</v>
      </c>
      <c r="K211" s="679">
        <v>0</v>
      </c>
      <c r="L211" s="1753">
        <f t="shared" si="32"/>
        <v>1426.59</v>
      </c>
      <c r="M211" s="1754">
        <v>0</v>
      </c>
      <c r="N211" s="1755">
        <v>1426.59</v>
      </c>
      <c r="O211" s="1755">
        <f t="shared" si="31"/>
        <v>1426.59</v>
      </c>
      <c r="P211" s="1756">
        <v>0</v>
      </c>
      <c r="Q211" s="1757">
        <v>0</v>
      </c>
      <c r="R211" s="679">
        <v>0</v>
      </c>
      <c r="S211" s="681">
        <v>0</v>
      </c>
      <c r="T211" s="1757">
        <v>0</v>
      </c>
      <c r="U211" s="1758">
        <v>0</v>
      </c>
      <c r="V211" s="1759">
        <v>0</v>
      </c>
      <c r="W211" s="1759">
        <v>0</v>
      </c>
      <c r="X211" s="1759">
        <v>0</v>
      </c>
      <c r="Y211" s="1760">
        <v>0</v>
      </c>
      <c r="Z211" s="26" t="s">
        <v>1055</v>
      </c>
      <c r="AA211" s="1761" t="s">
        <v>7</v>
      </c>
      <c r="AB211" s="1762" t="s">
        <v>330</v>
      </c>
      <c r="AC211" s="1763" t="s">
        <v>58</v>
      </c>
      <c r="AD211" s="122" t="s">
        <v>67</v>
      </c>
      <c r="AE211" s="1748" t="s">
        <v>133</v>
      </c>
      <c r="AF211" s="1748"/>
    </row>
    <row r="212" spans="1:32" outlineLevel="1" thickBot="1" x14ac:dyDescent="0.3">
      <c r="A212" s="14" t="s">
        <v>63</v>
      </c>
      <c r="B212" s="1439" t="s">
        <v>63</v>
      </c>
      <c r="C212" s="1440" t="s">
        <v>63</v>
      </c>
      <c r="D212" s="1304" t="s">
        <v>63</v>
      </c>
      <c r="E212" s="1383" t="s">
        <v>63</v>
      </c>
      <c r="F212" s="1306" t="s">
        <v>63</v>
      </c>
      <c r="G212" s="1311" t="s">
        <v>63</v>
      </c>
      <c r="H212" s="1104" t="s">
        <v>63</v>
      </c>
      <c r="I212" s="1105" t="s">
        <v>63</v>
      </c>
      <c r="J212" s="1106" t="s">
        <v>63</v>
      </c>
      <c r="K212" s="1107" t="s">
        <v>63</v>
      </c>
      <c r="L212" s="1108" t="s">
        <v>63</v>
      </c>
      <c r="M212" s="80" t="s">
        <v>63</v>
      </c>
      <c r="N212" s="162" t="s">
        <v>63</v>
      </c>
      <c r="O212" s="80" t="s">
        <v>63</v>
      </c>
      <c r="P212" s="80" t="s">
        <v>63</v>
      </c>
      <c r="Q212" s="162" t="s">
        <v>63</v>
      </c>
      <c r="R212" s="1472" t="s">
        <v>63</v>
      </c>
      <c r="S212" s="1474" t="s">
        <v>63</v>
      </c>
      <c r="T212" s="1473" t="s">
        <v>63</v>
      </c>
      <c r="U212" s="1472" t="s">
        <v>63</v>
      </c>
      <c r="V212" s="1107" t="s">
        <v>63</v>
      </c>
      <c r="W212" s="1107" t="s">
        <v>63</v>
      </c>
      <c r="X212" s="1474" t="s">
        <v>63</v>
      </c>
      <c r="Y212" s="1473" t="s">
        <v>63</v>
      </c>
      <c r="Z212" s="80" t="s">
        <v>63</v>
      </c>
      <c r="AA212" s="1688" t="s">
        <v>63</v>
      </c>
      <c r="AB212" s="1514" t="s">
        <v>63</v>
      </c>
      <c r="AC212" s="1515" t="s">
        <v>63</v>
      </c>
      <c r="AD212" s="14" t="s">
        <v>63</v>
      </c>
      <c r="AE212" s="1306" t="s">
        <v>63</v>
      </c>
      <c r="AF212" s="1306" t="s">
        <v>63</v>
      </c>
    </row>
    <row r="213" spans="1:32" s="888" customFormat="1" ht="18" thickBot="1" x14ac:dyDescent="0.3">
      <c r="A213" s="243" t="s">
        <v>73</v>
      </c>
      <c r="B213" s="244"/>
      <c r="C213" s="247"/>
      <c r="D213" s="7" t="s">
        <v>52</v>
      </c>
      <c r="E213" s="332" t="s">
        <v>52</v>
      </c>
      <c r="F213" s="311" t="s">
        <v>52</v>
      </c>
      <c r="G213" s="160">
        <f t="shared" ref="G213:N213" si="33">SUM(G168:G212)</f>
        <v>1348935.9097</v>
      </c>
      <c r="H213" s="160">
        <f t="shared" si="33"/>
        <v>42085.28009</v>
      </c>
      <c r="I213" s="160">
        <f t="shared" si="33"/>
        <v>11563.826440000003</v>
      </c>
      <c r="J213" s="160">
        <f t="shared" si="33"/>
        <v>12122.999020000003</v>
      </c>
      <c r="K213" s="160">
        <f t="shared" si="33"/>
        <v>11563.826440000003</v>
      </c>
      <c r="L213" s="160">
        <f t="shared" si="33"/>
        <v>42738.279109999996</v>
      </c>
      <c r="M213" s="160">
        <f t="shared" si="33"/>
        <v>74653.745270000014</v>
      </c>
      <c r="N213" s="160">
        <f t="shared" si="33"/>
        <v>-20351.639719999999</v>
      </c>
      <c r="O213" s="160">
        <f t="shared" ref="O213:O243" si="34">M213+N213</f>
        <v>54302.105550000015</v>
      </c>
      <c r="P213" s="160">
        <f t="shared" ref="P213:Y213" si="35">SUM(P168:P212)</f>
        <v>76595.678140000004</v>
      </c>
      <c r="Q213" s="160">
        <f t="shared" si="35"/>
        <v>1175952.84592</v>
      </c>
      <c r="R213" s="160">
        <f t="shared" si="35"/>
        <v>0</v>
      </c>
      <c r="S213" s="160">
        <f t="shared" si="35"/>
        <v>0</v>
      </c>
      <c r="T213" s="160">
        <f t="shared" si="35"/>
        <v>0</v>
      </c>
      <c r="U213" s="160">
        <f t="shared" si="35"/>
        <v>0</v>
      </c>
      <c r="V213" s="160">
        <f t="shared" si="35"/>
        <v>0</v>
      </c>
      <c r="W213" s="160">
        <f t="shared" si="35"/>
        <v>0</v>
      </c>
      <c r="X213" s="160">
        <f t="shared" si="35"/>
        <v>0</v>
      </c>
      <c r="Y213" s="160">
        <f t="shared" si="35"/>
        <v>0</v>
      </c>
      <c r="Z213" s="7" t="s">
        <v>862</v>
      </c>
      <c r="AA213" s="10" t="s">
        <v>52</v>
      </c>
      <c r="AB213" s="251" t="s">
        <v>52</v>
      </c>
      <c r="AC213" s="251" t="s">
        <v>52</v>
      </c>
      <c r="AD213" s="10" t="s">
        <v>52</v>
      </c>
      <c r="AE213" s="311" t="s">
        <v>52</v>
      </c>
      <c r="AF213" s="311" t="s">
        <v>52</v>
      </c>
    </row>
    <row r="214" spans="1:32" ht="27" outlineLevel="1" thickBot="1" x14ac:dyDescent="0.3">
      <c r="A214" s="1821" t="s">
        <v>497</v>
      </c>
      <c r="B214" s="1822" t="s">
        <v>511</v>
      </c>
      <c r="C214" s="1823" t="s">
        <v>498</v>
      </c>
      <c r="D214" s="1802" t="s">
        <v>552</v>
      </c>
      <c r="E214" s="1824" t="s">
        <v>496</v>
      </c>
      <c r="F214" s="1825" t="s">
        <v>496</v>
      </c>
      <c r="G214" s="1826">
        <f>1300-205.271</f>
        <v>1094.729</v>
      </c>
      <c r="H214" s="1827">
        <v>0</v>
      </c>
      <c r="I214" s="1828">
        <v>985.25599999999997</v>
      </c>
      <c r="J214" s="1829">
        <v>109.473</v>
      </c>
      <c r="K214" s="1830">
        <v>985.25599999999997</v>
      </c>
      <c r="L214" s="1831">
        <f t="shared" ref="L214:L215" si="36">O214-K214</f>
        <v>109.47300000000007</v>
      </c>
      <c r="M214" s="1832">
        <v>1300</v>
      </c>
      <c r="N214" s="1833">
        <f>0-205.271</f>
        <v>-205.27099999999999</v>
      </c>
      <c r="O214" s="1834">
        <f t="shared" si="34"/>
        <v>1094.729</v>
      </c>
      <c r="P214" s="1835">
        <v>0</v>
      </c>
      <c r="Q214" s="1836">
        <v>0</v>
      </c>
      <c r="R214" s="1837">
        <v>0</v>
      </c>
      <c r="S214" s="1838">
        <v>0</v>
      </c>
      <c r="T214" s="1839">
        <v>0</v>
      </c>
      <c r="U214" s="1840">
        <v>0</v>
      </c>
      <c r="V214" s="1841">
        <v>0</v>
      </c>
      <c r="W214" s="1841">
        <v>0</v>
      </c>
      <c r="X214" s="1841">
        <v>0</v>
      </c>
      <c r="Y214" s="1842">
        <v>0</v>
      </c>
      <c r="Z214" s="1843" t="s">
        <v>1170</v>
      </c>
      <c r="AA214" s="1802" t="s">
        <v>62</v>
      </c>
      <c r="AB214" s="1844" t="s">
        <v>582</v>
      </c>
      <c r="AC214" s="1844" t="s">
        <v>59</v>
      </c>
      <c r="AD214" s="1844" t="s">
        <v>67</v>
      </c>
      <c r="AE214" s="1825" t="s">
        <v>127</v>
      </c>
      <c r="AF214" s="1825"/>
    </row>
    <row r="215" spans="1:32" ht="27" outlineLevel="1" thickBot="1" x14ac:dyDescent="0.3">
      <c r="A215" s="477" t="s">
        <v>717</v>
      </c>
      <c r="B215" s="687" t="s">
        <v>791</v>
      </c>
      <c r="C215" s="690" t="s">
        <v>718</v>
      </c>
      <c r="D215" s="138" t="s">
        <v>782</v>
      </c>
      <c r="E215" s="889" t="s">
        <v>103</v>
      </c>
      <c r="F215" s="890" t="s">
        <v>103</v>
      </c>
      <c r="G215" s="120">
        <v>90750</v>
      </c>
      <c r="H215" s="98">
        <v>0</v>
      </c>
      <c r="I215" s="891">
        <v>0</v>
      </c>
      <c r="J215" s="918">
        <v>0</v>
      </c>
      <c r="K215" s="102">
        <v>0</v>
      </c>
      <c r="L215" s="530">
        <f t="shared" si="36"/>
        <v>0</v>
      </c>
      <c r="M215" s="531">
        <v>90000</v>
      </c>
      <c r="N215" s="584">
        <v>-90000</v>
      </c>
      <c r="O215" s="484">
        <f t="shared" si="34"/>
        <v>0</v>
      </c>
      <c r="P215" s="61">
        <v>90000</v>
      </c>
      <c r="Q215" s="63">
        <v>0</v>
      </c>
      <c r="R215" s="482">
        <v>0</v>
      </c>
      <c r="S215" s="189">
        <v>0</v>
      </c>
      <c r="T215" s="919">
        <v>750</v>
      </c>
      <c r="U215" s="532">
        <v>0</v>
      </c>
      <c r="V215" s="400">
        <v>0</v>
      </c>
      <c r="W215" s="400">
        <v>0</v>
      </c>
      <c r="X215" s="400">
        <v>0</v>
      </c>
      <c r="Y215" s="399">
        <v>0</v>
      </c>
      <c r="Z215" s="164" t="s">
        <v>950</v>
      </c>
      <c r="AA215" s="138" t="s">
        <v>5</v>
      </c>
      <c r="AB215" s="684" t="s">
        <v>242</v>
      </c>
      <c r="AC215" s="688" t="s">
        <v>58</v>
      </c>
      <c r="AD215" s="177" t="s">
        <v>67</v>
      </c>
      <c r="AE215" s="890" t="s">
        <v>133</v>
      </c>
      <c r="AF215" s="890" t="s">
        <v>63</v>
      </c>
    </row>
    <row r="216" spans="1:32" outlineLevel="1" thickBot="1" x14ac:dyDescent="0.3">
      <c r="A216" s="17" t="s">
        <v>63</v>
      </c>
      <c r="B216" s="1441" t="s">
        <v>63</v>
      </c>
      <c r="C216" s="1442" t="s">
        <v>63</v>
      </c>
      <c r="D216" s="73" t="s">
        <v>63</v>
      </c>
      <c r="E216" s="158" t="s">
        <v>63</v>
      </c>
      <c r="F216" s="191" t="s">
        <v>63</v>
      </c>
      <c r="G216" s="893" t="s">
        <v>63</v>
      </c>
      <c r="H216" s="894" t="s">
        <v>63</v>
      </c>
      <c r="I216" s="895" t="s">
        <v>63</v>
      </c>
      <c r="J216" s="1251" t="s">
        <v>63</v>
      </c>
      <c r="K216" s="81" t="s">
        <v>63</v>
      </c>
      <c r="L216" s="349" t="s">
        <v>63</v>
      </c>
      <c r="M216" s="33" t="s">
        <v>63</v>
      </c>
      <c r="N216" s="74" t="s">
        <v>63</v>
      </c>
      <c r="O216" s="147" t="s">
        <v>63</v>
      </c>
      <c r="P216" s="33" t="s">
        <v>63</v>
      </c>
      <c r="Q216" s="78" t="s">
        <v>63</v>
      </c>
      <c r="R216" s="115" t="s">
        <v>63</v>
      </c>
      <c r="S216" s="79" t="s">
        <v>63</v>
      </c>
      <c r="T216" s="78" t="s">
        <v>63</v>
      </c>
      <c r="U216" s="115" t="s">
        <v>63</v>
      </c>
      <c r="V216" s="81" t="s">
        <v>63</v>
      </c>
      <c r="W216" s="81" t="s">
        <v>63</v>
      </c>
      <c r="X216" s="79" t="s">
        <v>63</v>
      </c>
      <c r="Y216" s="74" t="s">
        <v>63</v>
      </c>
      <c r="Z216" s="33" t="s">
        <v>63</v>
      </c>
      <c r="AA216" s="1689" t="s">
        <v>63</v>
      </c>
      <c r="AB216" s="67" t="s">
        <v>63</v>
      </c>
      <c r="AC216" s="18" t="s">
        <v>63</v>
      </c>
      <c r="AD216" s="17" t="s">
        <v>63</v>
      </c>
      <c r="AE216" s="191" t="s">
        <v>63</v>
      </c>
      <c r="AF216" s="191" t="s">
        <v>63</v>
      </c>
    </row>
    <row r="217" spans="1:32" s="888" customFormat="1" ht="27" thickBot="1" x14ac:dyDescent="0.3">
      <c r="A217" s="243" t="s">
        <v>72</v>
      </c>
      <c r="B217" s="244"/>
      <c r="C217" s="330"/>
      <c r="D217" s="7" t="s">
        <v>52</v>
      </c>
      <c r="E217" s="332" t="s">
        <v>52</v>
      </c>
      <c r="F217" s="311" t="s">
        <v>52</v>
      </c>
      <c r="G217" s="160">
        <f t="shared" ref="G217:N217" si="37">SUM(G214:G216)</f>
        <v>91844.729000000007</v>
      </c>
      <c r="H217" s="160">
        <f t="shared" si="37"/>
        <v>0</v>
      </c>
      <c r="I217" s="160">
        <f t="shared" si="37"/>
        <v>985.25599999999997</v>
      </c>
      <c r="J217" s="160">
        <f t="shared" si="37"/>
        <v>109.473</v>
      </c>
      <c r="K217" s="160">
        <f t="shared" si="37"/>
        <v>985.25599999999997</v>
      </c>
      <c r="L217" s="160">
        <f t="shared" si="37"/>
        <v>109.47300000000007</v>
      </c>
      <c r="M217" s="160">
        <f t="shared" si="37"/>
        <v>91300</v>
      </c>
      <c r="N217" s="160">
        <f t="shared" si="37"/>
        <v>-90205.270999999993</v>
      </c>
      <c r="O217" s="160">
        <f t="shared" si="34"/>
        <v>1094.7290000000066</v>
      </c>
      <c r="P217" s="160">
        <f t="shared" ref="P217:Y217" si="38">SUM(P214:P216)</f>
        <v>90000</v>
      </c>
      <c r="Q217" s="160">
        <f t="shared" si="38"/>
        <v>0</v>
      </c>
      <c r="R217" s="160">
        <f t="shared" si="38"/>
        <v>0</v>
      </c>
      <c r="S217" s="160">
        <f t="shared" si="38"/>
        <v>0</v>
      </c>
      <c r="T217" s="160">
        <f t="shared" si="38"/>
        <v>750</v>
      </c>
      <c r="U217" s="160">
        <f t="shared" si="38"/>
        <v>0</v>
      </c>
      <c r="V217" s="160">
        <f t="shared" si="38"/>
        <v>0</v>
      </c>
      <c r="W217" s="160">
        <f t="shared" si="38"/>
        <v>0</v>
      </c>
      <c r="X217" s="160">
        <f t="shared" si="38"/>
        <v>0</v>
      </c>
      <c r="Y217" s="160">
        <f t="shared" si="38"/>
        <v>0</v>
      </c>
      <c r="Z217" s="7" t="s">
        <v>863</v>
      </c>
      <c r="AA217" s="7" t="s">
        <v>52</v>
      </c>
      <c r="AB217" s="313" t="s">
        <v>52</v>
      </c>
      <c r="AC217" s="313" t="s">
        <v>52</v>
      </c>
      <c r="AD217" s="9" t="s">
        <v>52</v>
      </c>
      <c r="AE217" s="311" t="s">
        <v>52</v>
      </c>
      <c r="AF217" s="311" t="s">
        <v>52</v>
      </c>
    </row>
    <row r="218" spans="1:32" outlineLevel="1" thickBot="1" x14ac:dyDescent="0.3">
      <c r="A218" s="17" t="s">
        <v>63</v>
      </c>
      <c r="B218" s="1441" t="s">
        <v>63</v>
      </c>
      <c r="C218" s="1442" t="s">
        <v>63</v>
      </c>
      <c r="D218" s="73" t="s">
        <v>63</v>
      </c>
      <c r="E218" s="158" t="s">
        <v>63</v>
      </c>
      <c r="F218" s="191" t="s">
        <v>63</v>
      </c>
      <c r="G218" s="893" t="s">
        <v>63</v>
      </c>
      <c r="H218" s="894" t="s">
        <v>63</v>
      </c>
      <c r="I218" s="895" t="s">
        <v>63</v>
      </c>
      <c r="J218" s="896" t="s">
        <v>63</v>
      </c>
      <c r="K218" s="81" t="s">
        <v>63</v>
      </c>
      <c r="L218" s="349" t="s">
        <v>63</v>
      </c>
      <c r="M218" s="33" t="s">
        <v>63</v>
      </c>
      <c r="N218" s="74" t="s">
        <v>63</v>
      </c>
      <c r="O218" s="147" t="s">
        <v>63</v>
      </c>
      <c r="P218" s="1397" t="s">
        <v>63</v>
      </c>
      <c r="Q218" s="1690" t="s">
        <v>63</v>
      </c>
      <c r="R218" s="1586" t="s">
        <v>63</v>
      </c>
      <c r="S218" s="1587" t="s">
        <v>63</v>
      </c>
      <c r="T218" s="1690" t="s">
        <v>63</v>
      </c>
      <c r="U218" s="1586" t="s">
        <v>63</v>
      </c>
      <c r="V218" s="1588" t="s">
        <v>63</v>
      </c>
      <c r="W218" s="1588" t="s">
        <v>63</v>
      </c>
      <c r="X218" s="1587" t="s">
        <v>63</v>
      </c>
      <c r="Y218" s="1585" t="s">
        <v>63</v>
      </c>
      <c r="Z218" s="1397" t="s">
        <v>63</v>
      </c>
      <c r="AA218" s="73" t="s">
        <v>63</v>
      </c>
      <c r="AB218" s="1691" t="s">
        <v>63</v>
      </c>
      <c r="AC218" s="1692" t="s">
        <v>63</v>
      </c>
      <c r="AD218" s="1691" t="s">
        <v>63</v>
      </c>
      <c r="AE218" s="191" t="s">
        <v>63</v>
      </c>
      <c r="AF218" s="191" t="s">
        <v>63</v>
      </c>
    </row>
    <row r="219" spans="1:32" s="888" customFormat="1" ht="18" thickBot="1" x14ac:dyDescent="0.3">
      <c r="A219" s="243" t="s">
        <v>117</v>
      </c>
      <c r="B219" s="244"/>
      <c r="C219" s="330"/>
      <c r="D219" s="7" t="s">
        <v>52</v>
      </c>
      <c r="E219" s="332" t="s">
        <v>52</v>
      </c>
      <c r="F219" s="311" t="s">
        <v>52</v>
      </c>
      <c r="G219" s="160">
        <f t="shared" ref="G219:N219" si="39">SUM(G218:G218)</f>
        <v>0</v>
      </c>
      <c r="H219" s="160">
        <f t="shared" si="39"/>
        <v>0</v>
      </c>
      <c r="I219" s="160">
        <f t="shared" si="39"/>
        <v>0</v>
      </c>
      <c r="J219" s="160">
        <f t="shared" si="39"/>
        <v>0</v>
      </c>
      <c r="K219" s="160">
        <f t="shared" si="39"/>
        <v>0</v>
      </c>
      <c r="L219" s="160">
        <f t="shared" si="39"/>
        <v>0</v>
      </c>
      <c r="M219" s="160">
        <f t="shared" si="39"/>
        <v>0</v>
      </c>
      <c r="N219" s="160">
        <f t="shared" si="39"/>
        <v>0</v>
      </c>
      <c r="O219" s="160">
        <f t="shared" si="34"/>
        <v>0</v>
      </c>
      <c r="P219" s="160">
        <f t="shared" ref="P219:Y219" si="40">SUM(P218:P218)</f>
        <v>0</v>
      </c>
      <c r="Q219" s="160">
        <f t="shared" si="40"/>
        <v>0</v>
      </c>
      <c r="R219" s="160">
        <f t="shared" si="40"/>
        <v>0</v>
      </c>
      <c r="S219" s="160">
        <f t="shared" si="40"/>
        <v>0</v>
      </c>
      <c r="T219" s="160">
        <f t="shared" si="40"/>
        <v>0</v>
      </c>
      <c r="U219" s="160">
        <f t="shared" si="40"/>
        <v>0</v>
      </c>
      <c r="V219" s="160">
        <f t="shared" si="40"/>
        <v>0</v>
      </c>
      <c r="W219" s="160">
        <f t="shared" si="40"/>
        <v>0</v>
      </c>
      <c r="X219" s="160">
        <f t="shared" si="40"/>
        <v>0</v>
      </c>
      <c r="Y219" s="160">
        <f t="shared" si="40"/>
        <v>0</v>
      </c>
      <c r="Z219" s="7" t="s">
        <v>670</v>
      </c>
      <c r="AA219" s="7" t="s">
        <v>52</v>
      </c>
      <c r="AB219" s="313" t="s">
        <v>52</v>
      </c>
      <c r="AC219" s="313" t="s">
        <v>52</v>
      </c>
      <c r="AD219" s="9" t="s">
        <v>52</v>
      </c>
      <c r="AE219" s="311" t="s">
        <v>52</v>
      </c>
      <c r="AF219" s="311" t="s">
        <v>52</v>
      </c>
    </row>
    <row r="220" spans="1:32" ht="27" outlineLevel="1" thickBot="1" x14ac:dyDescent="0.3">
      <c r="A220" s="477" t="s">
        <v>99</v>
      </c>
      <c r="B220" s="478" t="s">
        <v>258</v>
      </c>
      <c r="C220" s="479" t="s">
        <v>98</v>
      </c>
      <c r="D220" s="51" t="s">
        <v>550</v>
      </c>
      <c r="E220" s="904" t="s">
        <v>33</v>
      </c>
      <c r="F220" s="905" t="s">
        <v>33</v>
      </c>
      <c r="G220" s="52">
        <f>1362.8-740+400</f>
        <v>1022.8</v>
      </c>
      <c r="H220" s="120">
        <v>622.79999999999995</v>
      </c>
      <c r="I220" s="396">
        <v>0</v>
      </c>
      <c r="J220" s="480">
        <v>0</v>
      </c>
      <c r="K220" s="481">
        <v>0</v>
      </c>
      <c r="L220" s="63">
        <v>0</v>
      </c>
      <c r="M220" s="404">
        <v>200</v>
      </c>
      <c r="N220" s="484">
        <v>-200</v>
      </c>
      <c r="O220" s="403">
        <v>0</v>
      </c>
      <c r="P220" s="63">
        <v>200</v>
      </c>
      <c r="Q220" s="61">
        <v>200</v>
      </c>
      <c r="R220" s="482">
        <v>0</v>
      </c>
      <c r="S220" s="189">
        <v>0</v>
      </c>
      <c r="T220" s="63">
        <v>0</v>
      </c>
      <c r="U220" s="398">
        <v>0</v>
      </c>
      <c r="V220" s="485">
        <v>0</v>
      </c>
      <c r="W220" s="485">
        <v>0</v>
      </c>
      <c r="X220" s="485">
        <v>0</v>
      </c>
      <c r="Y220" s="445">
        <v>0</v>
      </c>
      <c r="Z220" s="171" t="s">
        <v>891</v>
      </c>
      <c r="AA220" s="64" t="s">
        <v>9</v>
      </c>
      <c r="AB220" s="486" t="s">
        <v>242</v>
      </c>
      <c r="AC220" s="486" t="s">
        <v>59</v>
      </c>
      <c r="AD220" s="177" t="s">
        <v>67</v>
      </c>
      <c r="AE220" s="890" t="s">
        <v>54</v>
      </c>
      <c r="AF220" s="890" t="s">
        <v>382</v>
      </c>
    </row>
    <row r="221" spans="1:32" ht="52.8" outlineLevel="1" x14ac:dyDescent="0.25">
      <c r="A221" s="447" t="s">
        <v>287</v>
      </c>
      <c r="B221" s="448" t="s">
        <v>226</v>
      </c>
      <c r="C221" s="449" t="s">
        <v>173</v>
      </c>
      <c r="D221" s="255" t="s">
        <v>512</v>
      </c>
      <c r="E221" s="450" t="s">
        <v>4</v>
      </c>
      <c r="F221" s="451" t="s">
        <v>358</v>
      </c>
      <c r="G221" s="452">
        <v>359347.712</v>
      </c>
      <c r="H221" s="453">
        <v>0</v>
      </c>
      <c r="I221" s="454">
        <v>0</v>
      </c>
      <c r="J221" s="455">
        <v>181.5</v>
      </c>
      <c r="K221" s="456">
        <v>0</v>
      </c>
      <c r="L221" s="457">
        <f t="shared" ref="L221:L223" si="41">O221-K221</f>
        <v>568.70000000002619</v>
      </c>
      <c r="M221" s="459">
        <v>108406.50360000003</v>
      </c>
      <c r="N221" s="460">
        <v>-107837.8036</v>
      </c>
      <c r="O221" s="461">
        <f t="shared" ref="O221:O223" si="42">M221+N221</f>
        <v>568.70000000002619</v>
      </c>
      <c r="P221" s="462">
        <v>212591.40719999999</v>
      </c>
      <c r="Q221" s="463">
        <v>146187.6048</v>
      </c>
      <c r="R221" s="458">
        <v>0</v>
      </c>
      <c r="S221" s="464">
        <v>0</v>
      </c>
      <c r="T221" s="465">
        <v>0</v>
      </c>
      <c r="U221" s="466">
        <v>0</v>
      </c>
      <c r="V221" s="467">
        <v>0</v>
      </c>
      <c r="W221" s="467">
        <v>0</v>
      </c>
      <c r="X221" s="467">
        <v>0</v>
      </c>
      <c r="Y221" s="468">
        <v>0</v>
      </c>
      <c r="Z221" s="469" t="s">
        <v>1166</v>
      </c>
      <c r="AA221" s="255" t="s">
        <v>9</v>
      </c>
      <c r="AB221" s="470" t="s">
        <v>888</v>
      </c>
      <c r="AC221" s="470" t="s">
        <v>59</v>
      </c>
      <c r="AD221" s="471" t="s">
        <v>68</v>
      </c>
      <c r="AE221" s="451" t="s">
        <v>752</v>
      </c>
      <c r="AF221" s="451" t="s">
        <v>381</v>
      </c>
    </row>
    <row r="222" spans="1:32" ht="53.4" outlineLevel="1" thickBot="1" x14ac:dyDescent="0.3">
      <c r="A222" s="472" t="s">
        <v>288</v>
      </c>
      <c r="B222" s="1443" t="s">
        <v>227</v>
      </c>
      <c r="C222" s="1444" t="s">
        <v>174</v>
      </c>
      <c r="D222" s="1373" t="s">
        <v>512</v>
      </c>
      <c r="E222" s="1445" t="s">
        <v>4</v>
      </c>
      <c r="F222" s="1446" t="s">
        <v>358</v>
      </c>
      <c r="G222" s="1447">
        <v>115254.09187</v>
      </c>
      <c r="H222" s="1252">
        <v>50654.498</v>
      </c>
      <c r="I222" s="1253">
        <v>54460.454519999999</v>
      </c>
      <c r="J222" s="1254">
        <v>10129.09635</v>
      </c>
      <c r="K222" s="1255">
        <v>54460.454519999999</v>
      </c>
      <c r="L222" s="1256">
        <f t="shared" si="41"/>
        <v>10139.139350000019</v>
      </c>
      <c r="M222" s="1257">
        <v>66341.838000000018</v>
      </c>
      <c r="N222" s="473">
        <v>-1742.24413</v>
      </c>
      <c r="O222" s="1693">
        <f t="shared" si="42"/>
        <v>64599.593870000019</v>
      </c>
      <c r="P222" s="1694">
        <v>0</v>
      </c>
      <c r="Q222" s="1695">
        <v>0</v>
      </c>
      <c r="R222" s="1696">
        <v>0</v>
      </c>
      <c r="S222" s="1697">
        <v>0</v>
      </c>
      <c r="T222" s="1698">
        <v>0</v>
      </c>
      <c r="U222" s="1699">
        <v>0</v>
      </c>
      <c r="V222" s="1266">
        <v>0</v>
      </c>
      <c r="W222" s="1266">
        <v>0</v>
      </c>
      <c r="X222" s="1266">
        <v>0</v>
      </c>
      <c r="Y222" s="1700">
        <v>0</v>
      </c>
      <c r="Z222" s="1701" t="s">
        <v>889</v>
      </c>
      <c r="AA222" s="1373" t="s">
        <v>9</v>
      </c>
      <c r="AB222" s="1702" t="s">
        <v>582</v>
      </c>
      <c r="AC222" s="1702" t="s">
        <v>59</v>
      </c>
      <c r="AD222" s="1549" t="s">
        <v>68</v>
      </c>
      <c r="AE222" s="1446" t="s">
        <v>753</v>
      </c>
      <c r="AF222" s="1446" t="s">
        <v>381</v>
      </c>
    </row>
    <row r="223" spans="1:32" ht="66" outlineLevel="1" x14ac:dyDescent="0.25">
      <c r="A223" s="447" t="s">
        <v>471</v>
      </c>
      <c r="B223" s="448" t="s">
        <v>473</v>
      </c>
      <c r="C223" s="449" t="s">
        <v>472</v>
      </c>
      <c r="D223" s="255" t="s">
        <v>568</v>
      </c>
      <c r="E223" s="450" t="s">
        <v>4</v>
      </c>
      <c r="F223" s="451" t="s">
        <v>358</v>
      </c>
      <c r="G223" s="452">
        <v>80267.77</v>
      </c>
      <c r="H223" s="453">
        <v>0</v>
      </c>
      <c r="I223" s="454">
        <v>0</v>
      </c>
      <c r="J223" s="455">
        <v>0</v>
      </c>
      <c r="K223" s="456">
        <v>0</v>
      </c>
      <c r="L223" s="457">
        <f t="shared" si="41"/>
        <v>0</v>
      </c>
      <c r="M223" s="459">
        <v>45000</v>
      </c>
      <c r="N223" s="460">
        <v>-45000</v>
      </c>
      <c r="O223" s="474">
        <f t="shared" si="42"/>
        <v>0</v>
      </c>
      <c r="P223" s="462">
        <v>40942.769999999997</v>
      </c>
      <c r="Q223" s="457">
        <v>39325</v>
      </c>
      <c r="R223" s="458">
        <v>0</v>
      </c>
      <c r="S223" s="464">
        <v>0</v>
      </c>
      <c r="T223" s="475">
        <v>0</v>
      </c>
      <c r="U223" s="466">
        <v>0</v>
      </c>
      <c r="V223" s="467">
        <v>0</v>
      </c>
      <c r="W223" s="467">
        <v>0</v>
      </c>
      <c r="X223" s="467">
        <v>0</v>
      </c>
      <c r="Y223" s="468">
        <v>0</v>
      </c>
      <c r="Z223" s="469" t="s">
        <v>890</v>
      </c>
      <c r="AA223" s="255" t="s">
        <v>5</v>
      </c>
      <c r="AB223" s="470" t="s">
        <v>242</v>
      </c>
      <c r="AC223" s="470" t="s">
        <v>58</v>
      </c>
      <c r="AD223" s="471" t="s">
        <v>68</v>
      </c>
      <c r="AE223" s="451" t="s">
        <v>754</v>
      </c>
      <c r="AF223" s="451" t="s">
        <v>381</v>
      </c>
    </row>
    <row r="224" spans="1:32" outlineLevel="1" thickBot="1" x14ac:dyDescent="0.3">
      <c r="A224" s="17" t="s">
        <v>63</v>
      </c>
      <c r="B224" s="1441" t="s">
        <v>63</v>
      </c>
      <c r="C224" s="1442" t="s">
        <v>63</v>
      </c>
      <c r="D224" s="73" t="s">
        <v>63</v>
      </c>
      <c r="E224" s="158" t="s">
        <v>63</v>
      </c>
      <c r="F224" s="191" t="s">
        <v>63</v>
      </c>
      <c r="G224" s="893" t="s">
        <v>63</v>
      </c>
      <c r="H224" s="894" t="s">
        <v>63</v>
      </c>
      <c r="I224" s="895" t="s">
        <v>63</v>
      </c>
      <c r="J224" s="896" t="s">
        <v>63</v>
      </c>
      <c r="K224" s="81" t="s">
        <v>63</v>
      </c>
      <c r="L224" s="349" t="s">
        <v>63</v>
      </c>
      <c r="M224" s="33" t="s">
        <v>63</v>
      </c>
      <c r="N224" s="74" t="s">
        <v>63</v>
      </c>
      <c r="O224" s="147" t="s">
        <v>63</v>
      </c>
      <c r="P224" s="33" t="s">
        <v>63</v>
      </c>
      <c r="Q224" s="78" t="s">
        <v>63</v>
      </c>
      <c r="R224" s="115" t="s">
        <v>63</v>
      </c>
      <c r="S224" s="79" t="s">
        <v>63</v>
      </c>
      <c r="T224" s="78" t="s">
        <v>63</v>
      </c>
      <c r="U224" s="115" t="s">
        <v>63</v>
      </c>
      <c r="V224" s="81" t="s">
        <v>63</v>
      </c>
      <c r="W224" s="81" t="s">
        <v>63</v>
      </c>
      <c r="X224" s="79" t="s">
        <v>63</v>
      </c>
      <c r="Y224" s="74" t="s">
        <v>63</v>
      </c>
      <c r="Z224" s="33" t="s">
        <v>63</v>
      </c>
      <c r="AA224" s="73" t="s">
        <v>63</v>
      </c>
      <c r="AB224" s="18" t="s">
        <v>63</v>
      </c>
      <c r="AC224" s="18" t="s">
        <v>63</v>
      </c>
      <c r="AD224" s="17" t="s">
        <v>63</v>
      </c>
      <c r="AE224" s="191" t="s">
        <v>63</v>
      </c>
      <c r="AF224" s="191" t="s">
        <v>63</v>
      </c>
    </row>
    <row r="225" spans="1:32" s="888" customFormat="1" ht="18" thickBot="1" x14ac:dyDescent="0.3">
      <c r="A225" s="243" t="s">
        <v>256</v>
      </c>
      <c r="B225" s="244"/>
      <c r="C225" s="247"/>
      <c r="D225" s="7" t="s">
        <v>52</v>
      </c>
      <c r="E225" s="332" t="s">
        <v>52</v>
      </c>
      <c r="F225" s="311" t="s">
        <v>52</v>
      </c>
      <c r="G225" s="160">
        <f t="shared" ref="G225:N225" si="43">SUM(G220:G224)</f>
        <v>555892.37387000001</v>
      </c>
      <c r="H225" s="160">
        <f t="shared" si="43"/>
        <v>51277.298000000003</v>
      </c>
      <c r="I225" s="160">
        <f t="shared" si="43"/>
        <v>54460.454519999999</v>
      </c>
      <c r="J225" s="160">
        <f t="shared" si="43"/>
        <v>10310.59635</v>
      </c>
      <c r="K225" s="160">
        <f t="shared" si="43"/>
        <v>54460.454519999999</v>
      </c>
      <c r="L225" s="160">
        <f t="shared" si="43"/>
        <v>10707.839350000046</v>
      </c>
      <c r="M225" s="160">
        <f t="shared" si="43"/>
        <v>219948.34160000004</v>
      </c>
      <c r="N225" s="160">
        <f t="shared" si="43"/>
        <v>-154780.04772999999</v>
      </c>
      <c r="O225" s="160">
        <f t="shared" si="34"/>
        <v>65168.293870000052</v>
      </c>
      <c r="P225" s="160">
        <f t="shared" ref="P225:Y225" si="44">SUM(P220:P224)</f>
        <v>253734.17719999998</v>
      </c>
      <c r="Q225" s="160">
        <f t="shared" si="44"/>
        <v>185712.6048</v>
      </c>
      <c r="R225" s="160">
        <f t="shared" si="44"/>
        <v>0</v>
      </c>
      <c r="S225" s="1083">
        <f t="shared" si="44"/>
        <v>0</v>
      </c>
      <c r="T225" s="160">
        <f t="shared" si="44"/>
        <v>0</v>
      </c>
      <c r="U225" s="160">
        <f t="shared" si="44"/>
        <v>0</v>
      </c>
      <c r="V225" s="160">
        <f t="shared" si="44"/>
        <v>0</v>
      </c>
      <c r="W225" s="160">
        <f t="shared" si="44"/>
        <v>0</v>
      </c>
      <c r="X225" s="160">
        <f t="shared" si="44"/>
        <v>0</v>
      </c>
      <c r="Y225" s="160">
        <f t="shared" si="44"/>
        <v>0</v>
      </c>
      <c r="Z225" s="7" t="s">
        <v>1160</v>
      </c>
      <c r="AA225" s="7" t="s">
        <v>52</v>
      </c>
      <c r="AB225" s="313" t="s">
        <v>52</v>
      </c>
      <c r="AC225" s="313" t="s">
        <v>52</v>
      </c>
      <c r="AD225" s="9" t="s">
        <v>52</v>
      </c>
      <c r="AE225" s="311" t="s">
        <v>52</v>
      </c>
      <c r="AF225" s="311" t="s">
        <v>52</v>
      </c>
    </row>
    <row r="226" spans="1:32" ht="46.8" outlineLevel="1" x14ac:dyDescent="0.25">
      <c r="A226" s="371" t="s">
        <v>191</v>
      </c>
      <c r="B226" s="372" t="s">
        <v>223</v>
      </c>
      <c r="C226" s="373" t="s">
        <v>192</v>
      </c>
      <c r="D226" s="35" t="s">
        <v>466</v>
      </c>
      <c r="E226" s="868" t="s">
        <v>4</v>
      </c>
      <c r="F226" s="869" t="s">
        <v>4</v>
      </c>
      <c r="G226" s="39">
        <v>19290.310000000001</v>
      </c>
      <c r="H226" s="76">
        <v>462.98230000000001</v>
      </c>
      <c r="I226" s="870">
        <v>0</v>
      </c>
      <c r="J226" s="871">
        <v>704.99</v>
      </c>
      <c r="K226" s="374">
        <v>0</v>
      </c>
      <c r="L226" s="375">
        <f>O226-K226</f>
        <v>960.46769999999924</v>
      </c>
      <c r="M226" s="130">
        <v>2505.6376999999993</v>
      </c>
      <c r="N226" s="377">
        <v>-1545.17</v>
      </c>
      <c r="O226" s="377">
        <f t="shared" si="34"/>
        <v>960.46769999999924</v>
      </c>
      <c r="P226" s="50">
        <v>16076.06</v>
      </c>
      <c r="Q226" s="43">
        <v>1790.8</v>
      </c>
      <c r="R226" s="85">
        <v>0</v>
      </c>
      <c r="S226" s="93">
        <v>0</v>
      </c>
      <c r="T226" s="54">
        <v>0</v>
      </c>
      <c r="U226" s="378">
        <v>0</v>
      </c>
      <c r="V226" s="379">
        <v>0</v>
      </c>
      <c r="W226" s="379">
        <v>0</v>
      </c>
      <c r="X226" s="379">
        <v>0</v>
      </c>
      <c r="Y226" s="380">
        <v>0</v>
      </c>
      <c r="Z226" s="156" t="s">
        <v>868</v>
      </c>
      <c r="AA226" s="35" t="s">
        <v>9</v>
      </c>
      <c r="AB226" s="381" t="s">
        <v>672</v>
      </c>
      <c r="AC226" s="381" t="s">
        <v>59</v>
      </c>
      <c r="AD226" s="109" t="s">
        <v>67</v>
      </c>
      <c r="AE226" s="869" t="s">
        <v>195</v>
      </c>
      <c r="AF226" s="920" t="s">
        <v>385</v>
      </c>
    </row>
    <row r="227" spans="1:32" ht="39.6" outlineLevel="1" x14ac:dyDescent="0.25">
      <c r="A227" s="382" t="s">
        <v>193</v>
      </c>
      <c r="B227" s="383" t="s">
        <v>224</v>
      </c>
      <c r="C227" s="384" t="s">
        <v>194</v>
      </c>
      <c r="D227" s="36" t="s">
        <v>466</v>
      </c>
      <c r="E227" s="902" t="s">
        <v>4</v>
      </c>
      <c r="F227" s="878" t="s">
        <v>4</v>
      </c>
      <c r="G227" s="42">
        <v>11559.13</v>
      </c>
      <c r="H227" s="334">
        <v>78.650000000000006</v>
      </c>
      <c r="I227" s="921">
        <v>0</v>
      </c>
      <c r="J227" s="922">
        <v>471.9</v>
      </c>
      <c r="K227" s="111">
        <v>0</v>
      </c>
      <c r="L227" s="118">
        <f>O227-K227</f>
        <v>2544.63</v>
      </c>
      <c r="M227" s="385">
        <v>1235.4100000000001</v>
      </c>
      <c r="N227" s="386">
        <v>1309.22</v>
      </c>
      <c r="O227" s="387">
        <f t="shared" si="34"/>
        <v>2544.63</v>
      </c>
      <c r="P227" s="49">
        <v>7080.92</v>
      </c>
      <c r="Q227" s="45">
        <v>1854.93</v>
      </c>
      <c r="R227" s="92">
        <v>0</v>
      </c>
      <c r="S227" s="93">
        <v>0</v>
      </c>
      <c r="T227" s="40">
        <v>0</v>
      </c>
      <c r="U227" s="388">
        <v>0</v>
      </c>
      <c r="V227" s="389">
        <v>0</v>
      </c>
      <c r="W227" s="389">
        <v>0</v>
      </c>
      <c r="X227" s="389">
        <v>0</v>
      </c>
      <c r="Y227" s="390">
        <v>0</v>
      </c>
      <c r="Z227" s="163" t="s">
        <v>870</v>
      </c>
      <c r="AA227" s="35" t="s">
        <v>9</v>
      </c>
      <c r="AB227" s="391" t="s">
        <v>869</v>
      </c>
      <c r="AC227" s="391" t="s">
        <v>59</v>
      </c>
      <c r="AD227" s="44" t="s">
        <v>67</v>
      </c>
      <c r="AE227" s="878" t="s">
        <v>195</v>
      </c>
      <c r="AF227" s="920" t="s">
        <v>385</v>
      </c>
    </row>
    <row r="228" spans="1:32" outlineLevel="1" thickBot="1" x14ac:dyDescent="0.3">
      <c r="A228" s="17" t="s">
        <v>63</v>
      </c>
      <c r="B228" s="240" t="s">
        <v>63</v>
      </c>
      <c r="C228" s="1448" t="s">
        <v>63</v>
      </c>
      <c r="D228" s="73" t="s">
        <v>63</v>
      </c>
      <c r="E228" s="158" t="s">
        <v>63</v>
      </c>
      <c r="F228" s="191" t="s">
        <v>63</v>
      </c>
      <c r="G228" s="893" t="s">
        <v>63</v>
      </c>
      <c r="H228" s="1104" t="s">
        <v>63</v>
      </c>
      <c r="I228" s="1105" t="s">
        <v>63</v>
      </c>
      <c r="J228" s="1106" t="s">
        <v>63</v>
      </c>
      <c r="K228" s="1107" t="s">
        <v>63</v>
      </c>
      <c r="L228" s="1108" t="s">
        <v>63</v>
      </c>
      <c r="M228" s="80" t="s">
        <v>63</v>
      </c>
      <c r="N228" s="162" t="s">
        <v>63</v>
      </c>
      <c r="O228" s="1103" t="s">
        <v>63</v>
      </c>
      <c r="P228" s="1397" t="s">
        <v>63</v>
      </c>
      <c r="Q228" s="1690" t="s">
        <v>63</v>
      </c>
      <c r="R228" s="1586" t="s">
        <v>63</v>
      </c>
      <c r="S228" s="1587" t="s">
        <v>63</v>
      </c>
      <c r="T228" s="1690" t="s">
        <v>63</v>
      </c>
      <c r="U228" s="1586" t="s">
        <v>63</v>
      </c>
      <c r="V228" s="1588" t="s">
        <v>63</v>
      </c>
      <c r="W228" s="1588" t="s">
        <v>63</v>
      </c>
      <c r="X228" s="1587" t="s">
        <v>63</v>
      </c>
      <c r="Y228" s="1585" t="s">
        <v>63</v>
      </c>
      <c r="Z228" s="1397" t="s">
        <v>63</v>
      </c>
      <c r="AA228" s="1304" t="s">
        <v>63</v>
      </c>
      <c r="AB228" s="1703" t="s">
        <v>63</v>
      </c>
      <c r="AC228" s="1692" t="s">
        <v>63</v>
      </c>
      <c r="AD228" s="1703" t="s">
        <v>63</v>
      </c>
      <c r="AE228" s="1306" t="s">
        <v>63</v>
      </c>
      <c r="AF228" s="1306" t="s">
        <v>63</v>
      </c>
    </row>
    <row r="229" spans="1:32" s="888" customFormat="1" ht="18" thickBot="1" x14ac:dyDescent="0.3">
      <c r="A229" s="243" t="s">
        <v>71</v>
      </c>
      <c r="B229" s="244"/>
      <c r="C229" s="247"/>
      <c r="D229" s="7" t="s">
        <v>52</v>
      </c>
      <c r="E229" s="332" t="s">
        <v>52</v>
      </c>
      <c r="F229" s="311" t="s">
        <v>52</v>
      </c>
      <c r="G229" s="160">
        <f t="shared" ref="G229:N229" si="45">SUM(G226:G228)</f>
        <v>30849.440000000002</v>
      </c>
      <c r="H229" s="160">
        <f t="shared" si="45"/>
        <v>541.63229999999999</v>
      </c>
      <c r="I229" s="160">
        <f t="shared" si="45"/>
        <v>0</v>
      </c>
      <c r="J229" s="160">
        <f t="shared" si="45"/>
        <v>1176.8899999999999</v>
      </c>
      <c r="K229" s="160">
        <f t="shared" si="45"/>
        <v>0</v>
      </c>
      <c r="L229" s="160">
        <f t="shared" si="45"/>
        <v>3505.0976999999993</v>
      </c>
      <c r="M229" s="160">
        <f t="shared" si="45"/>
        <v>3741.0476999999992</v>
      </c>
      <c r="N229" s="160">
        <f t="shared" si="45"/>
        <v>-235.95000000000005</v>
      </c>
      <c r="O229" s="160">
        <f t="shared" si="34"/>
        <v>3505.0976999999993</v>
      </c>
      <c r="P229" s="160">
        <f t="shared" ref="P229:Y229" si="46">SUM(P226:P228)</f>
        <v>23156.98</v>
      </c>
      <c r="Q229" s="160">
        <f t="shared" si="46"/>
        <v>3645.73</v>
      </c>
      <c r="R229" s="160">
        <f t="shared" si="46"/>
        <v>0</v>
      </c>
      <c r="S229" s="160">
        <f t="shared" si="46"/>
        <v>0</v>
      </c>
      <c r="T229" s="161">
        <f t="shared" si="46"/>
        <v>0</v>
      </c>
      <c r="U229" s="160">
        <f t="shared" si="46"/>
        <v>0</v>
      </c>
      <c r="V229" s="160">
        <f t="shared" si="46"/>
        <v>0</v>
      </c>
      <c r="W229" s="160">
        <f t="shared" si="46"/>
        <v>0</v>
      </c>
      <c r="X229" s="160">
        <f t="shared" si="46"/>
        <v>0</v>
      </c>
      <c r="Y229" s="160">
        <f t="shared" si="46"/>
        <v>0</v>
      </c>
      <c r="Z229" s="7" t="s">
        <v>864</v>
      </c>
      <c r="AA229" s="7" t="s">
        <v>52</v>
      </c>
      <c r="AB229" s="313" t="s">
        <v>52</v>
      </c>
      <c r="AC229" s="313" t="s">
        <v>52</v>
      </c>
      <c r="AD229" s="9" t="s">
        <v>52</v>
      </c>
      <c r="AE229" s="311" t="s">
        <v>52</v>
      </c>
      <c r="AF229" s="311" t="s">
        <v>52</v>
      </c>
    </row>
    <row r="230" spans="1:32" ht="43.8" outlineLevel="1" thickBot="1" x14ac:dyDescent="0.3">
      <c r="A230" s="948" t="s">
        <v>334</v>
      </c>
      <c r="B230" s="949" t="s">
        <v>650</v>
      </c>
      <c r="C230" s="723" t="s">
        <v>335</v>
      </c>
      <c r="D230" s="41" t="s">
        <v>547</v>
      </c>
      <c r="E230" s="70" t="s">
        <v>4</v>
      </c>
      <c r="F230" s="804" t="s">
        <v>4</v>
      </c>
      <c r="G230" s="143">
        <v>7804</v>
      </c>
      <c r="H230" s="142">
        <v>1493.6544699999999</v>
      </c>
      <c r="I230" s="950">
        <v>2695.3075100000001</v>
      </c>
      <c r="J230" s="951">
        <v>0</v>
      </c>
      <c r="K230" s="952">
        <v>2695.3075100000001</v>
      </c>
      <c r="L230" s="729">
        <f>O230-K230</f>
        <v>0</v>
      </c>
      <c r="M230" s="143">
        <v>6310.3455300000005</v>
      </c>
      <c r="N230" s="717">
        <v>-3615.03802</v>
      </c>
      <c r="O230" s="717">
        <f t="shared" si="34"/>
        <v>2695.3075100000005</v>
      </c>
      <c r="P230" s="725">
        <v>3615.03802</v>
      </c>
      <c r="Q230" s="954">
        <v>0</v>
      </c>
      <c r="R230" s="726">
        <v>0</v>
      </c>
      <c r="S230" s="955">
        <v>0</v>
      </c>
      <c r="T230" s="729">
        <v>0</v>
      </c>
      <c r="U230" s="726">
        <v>0</v>
      </c>
      <c r="V230" s="952">
        <v>0</v>
      </c>
      <c r="W230" s="952">
        <v>0</v>
      </c>
      <c r="X230" s="955">
        <v>0</v>
      </c>
      <c r="Y230" s="953">
        <v>0</v>
      </c>
      <c r="Z230" s="956" t="s">
        <v>1068</v>
      </c>
      <c r="AA230" s="41" t="s">
        <v>7</v>
      </c>
      <c r="AB230" s="108" t="s">
        <v>673</v>
      </c>
      <c r="AC230" s="108" t="s">
        <v>59</v>
      </c>
      <c r="AD230" s="108" t="s">
        <v>67</v>
      </c>
      <c r="AE230" s="804" t="s">
        <v>54</v>
      </c>
      <c r="AF230" s="804" t="s">
        <v>374</v>
      </c>
    </row>
    <row r="231" spans="1:32" s="358" customFormat="1" ht="31.8" outlineLevel="1" thickBot="1" x14ac:dyDescent="0.3">
      <c r="A231" s="487" t="s">
        <v>825</v>
      </c>
      <c r="B231" s="840" t="s">
        <v>54</v>
      </c>
      <c r="C231" s="841" t="s">
        <v>821</v>
      </c>
      <c r="D231" s="62" t="s">
        <v>579</v>
      </c>
      <c r="E231" s="132" t="s">
        <v>4</v>
      </c>
      <c r="F231" s="253" t="s">
        <v>4</v>
      </c>
      <c r="G231" s="397">
        <v>29000</v>
      </c>
      <c r="H231" s="843">
        <v>0</v>
      </c>
      <c r="I231" s="844">
        <v>0</v>
      </c>
      <c r="J231" s="845">
        <v>6245.38</v>
      </c>
      <c r="K231" s="485">
        <v>0</v>
      </c>
      <c r="L231" s="957">
        <f>O231-K231</f>
        <v>6245.380000000001</v>
      </c>
      <c r="M231" s="397">
        <v>29000</v>
      </c>
      <c r="N231" s="1076">
        <f>-22758.62+4</f>
        <v>-22754.62</v>
      </c>
      <c r="O231" s="397">
        <f t="shared" si="34"/>
        <v>6245.380000000001</v>
      </c>
      <c r="P231" s="445">
        <f>22758.62-4</f>
        <v>22754.62</v>
      </c>
      <c r="Q231" s="498">
        <v>0</v>
      </c>
      <c r="R231" s="398">
        <v>0</v>
      </c>
      <c r="S231" s="497">
        <v>0</v>
      </c>
      <c r="T231" s="498">
        <v>0</v>
      </c>
      <c r="U231" s="398">
        <v>0</v>
      </c>
      <c r="V231" s="485">
        <v>0</v>
      </c>
      <c r="W231" s="485">
        <v>0</v>
      </c>
      <c r="X231" s="485">
        <v>0</v>
      </c>
      <c r="Y231" s="445">
        <v>0</v>
      </c>
      <c r="Z231" s="282" t="s">
        <v>1165</v>
      </c>
      <c r="AA231" s="369" t="s">
        <v>7</v>
      </c>
      <c r="AB231" s="183" t="s">
        <v>673</v>
      </c>
      <c r="AC231" s="183" t="s">
        <v>59</v>
      </c>
      <c r="AD231" s="183" t="s">
        <v>67</v>
      </c>
      <c r="AE231" s="253" t="s">
        <v>513</v>
      </c>
      <c r="AF231" s="253" t="s">
        <v>374</v>
      </c>
    </row>
    <row r="232" spans="1:32" outlineLevel="1" thickBot="1" x14ac:dyDescent="0.3">
      <c r="A232" s="17" t="s">
        <v>63</v>
      </c>
      <c r="B232" s="1449" t="s">
        <v>63</v>
      </c>
      <c r="C232" s="1450" t="s">
        <v>63</v>
      </c>
      <c r="D232" s="1451" t="s">
        <v>63</v>
      </c>
      <c r="E232" s="1307" t="s">
        <v>63</v>
      </c>
      <c r="F232" s="191" t="s">
        <v>63</v>
      </c>
      <c r="G232" s="893" t="s">
        <v>63</v>
      </c>
      <c r="H232" s="894" t="s">
        <v>63</v>
      </c>
      <c r="I232" s="895" t="s">
        <v>63</v>
      </c>
      <c r="J232" s="896" t="s">
        <v>63</v>
      </c>
      <c r="K232" s="81" t="s">
        <v>63</v>
      </c>
      <c r="L232" s="349" t="s">
        <v>63</v>
      </c>
      <c r="M232" s="33" t="s">
        <v>63</v>
      </c>
      <c r="N232" s="74" t="s">
        <v>63</v>
      </c>
      <c r="O232" s="147" t="s">
        <v>63</v>
      </c>
      <c r="P232" s="33" t="s">
        <v>63</v>
      </c>
      <c r="Q232" s="78" t="s">
        <v>63</v>
      </c>
      <c r="R232" s="115" t="s">
        <v>63</v>
      </c>
      <c r="S232" s="79" t="s">
        <v>63</v>
      </c>
      <c r="T232" s="78" t="s">
        <v>63</v>
      </c>
      <c r="U232" s="115" t="s">
        <v>63</v>
      </c>
      <c r="V232" s="81" t="s">
        <v>63</v>
      </c>
      <c r="W232" s="81" t="s">
        <v>63</v>
      </c>
      <c r="X232" s="79" t="s">
        <v>63</v>
      </c>
      <c r="Y232" s="74" t="s">
        <v>63</v>
      </c>
      <c r="Z232" s="33" t="s">
        <v>63</v>
      </c>
      <c r="AA232" s="1471" t="s">
        <v>63</v>
      </c>
      <c r="AB232" s="17" t="s">
        <v>63</v>
      </c>
      <c r="AC232" s="17" t="s">
        <v>63</v>
      </c>
      <c r="AD232" s="17" t="s">
        <v>63</v>
      </c>
      <c r="AE232" s="191" t="s">
        <v>63</v>
      </c>
      <c r="AF232" s="191" t="s">
        <v>63</v>
      </c>
    </row>
    <row r="233" spans="1:32" s="888" customFormat="1" ht="18" thickBot="1" x14ac:dyDescent="0.3">
      <c r="A233" s="243" t="s">
        <v>202</v>
      </c>
      <c r="B233" s="244"/>
      <c r="C233" s="247"/>
      <c r="D233" s="7" t="s">
        <v>52</v>
      </c>
      <c r="E233" s="332" t="s">
        <v>52</v>
      </c>
      <c r="F233" s="311" t="s">
        <v>52</v>
      </c>
      <c r="G233" s="160">
        <f t="shared" ref="G233:N233" si="47">SUM(G230:G232)</f>
        <v>36804</v>
      </c>
      <c r="H233" s="160">
        <f t="shared" si="47"/>
        <v>1493.6544699999999</v>
      </c>
      <c r="I233" s="160">
        <f t="shared" si="47"/>
        <v>2695.3075100000001</v>
      </c>
      <c r="J233" s="160">
        <f t="shared" si="47"/>
        <v>6245.38</v>
      </c>
      <c r="K233" s="160">
        <f t="shared" si="47"/>
        <v>2695.3075100000001</v>
      </c>
      <c r="L233" s="160">
        <f t="shared" si="47"/>
        <v>6245.380000000001</v>
      </c>
      <c r="M233" s="160">
        <f t="shared" si="47"/>
        <v>35310.345529999999</v>
      </c>
      <c r="N233" s="160">
        <f t="shared" si="47"/>
        <v>-26369.658019999999</v>
      </c>
      <c r="O233" s="160">
        <f t="shared" si="34"/>
        <v>8940.6875099999997</v>
      </c>
      <c r="P233" s="160">
        <f t="shared" ref="P233:Y233" si="48">SUM(P230:P232)</f>
        <v>26369.658019999999</v>
      </c>
      <c r="Q233" s="160">
        <f t="shared" si="48"/>
        <v>0</v>
      </c>
      <c r="R233" s="160">
        <f t="shared" si="48"/>
        <v>0</v>
      </c>
      <c r="S233" s="160">
        <f t="shared" si="48"/>
        <v>0</v>
      </c>
      <c r="T233" s="161">
        <f t="shared" si="48"/>
        <v>0</v>
      </c>
      <c r="U233" s="160">
        <f t="shared" si="48"/>
        <v>0</v>
      </c>
      <c r="V233" s="160">
        <f t="shared" si="48"/>
        <v>0</v>
      </c>
      <c r="W233" s="160">
        <f t="shared" si="48"/>
        <v>0</v>
      </c>
      <c r="X233" s="160">
        <f t="shared" si="48"/>
        <v>0</v>
      </c>
      <c r="Y233" s="160">
        <f t="shared" si="48"/>
        <v>0</v>
      </c>
      <c r="Z233" s="7" t="s">
        <v>1156</v>
      </c>
      <c r="AA233" s="7" t="s">
        <v>52</v>
      </c>
      <c r="AB233" s="241" t="s">
        <v>52</v>
      </c>
      <c r="AC233" s="315" t="s">
        <v>52</v>
      </c>
      <c r="AD233" s="7" t="s">
        <v>52</v>
      </c>
      <c r="AE233" s="311" t="s">
        <v>52</v>
      </c>
      <c r="AF233" s="311" t="s">
        <v>52</v>
      </c>
    </row>
    <row r="234" spans="1:32" ht="27" outlineLevel="1" thickBot="1" x14ac:dyDescent="0.3">
      <c r="A234" s="535" t="s">
        <v>160</v>
      </c>
      <c r="B234" s="536" t="s">
        <v>225</v>
      </c>
      <c r="C234" s="479" t="s">
        <v>36</v>
      </c>
      <c r="D234" s="51" t="s">
        <v>569</v>
      </c>
      <c r="E234" s="904" t="s">
        <v>77</v>
      </c>
      <c r="F234" s="890" t="s">
        <v>77</v>
      </c>
      <c r="G234" s="537">
        <v>14000</v>
      </c>
      <c r="H234" s="538">
        <v>0</v>
      </c>
      <c r="I234" s="923">
        <v>0</v>
      </c>
      <c r="J234" s="924">
        <v>0</v>
      </c>
      <c r="K234" s="481">
        <v>0</v>
      </c>
      <c r="L234" s="530">
        <f t="shared" ref="L234:L243" si="49">O234-K234</f>
        <v>0</v>
      </c>
      <c r="M234" s="531">
        <v>0</v>
      </c>
      <c r="N234" s="484">
        <v>0</v>
      </c>
      <c r="O234" s="484">
        <f t="shared" si="34"/>
        <v>0</v>
      </c>
      <c r="P234" s="539">
        <v>0</v>
      </c>
      <c r="Q234" s="540">
        <v>14000</v>
      </c>
      <c r="R234" s="585">
        <v>0</v>
      </c>
      <c r="S234" s="586">
        <v>0</v>
      </c>
      <c r="T234" s="587">
        <v>0</v>
      </c>
      <c r="U234" s="568">
        <v>0</v>
      </c>
      <c r="V234" s="663">
        <v>0</v>
      </c>
      <c r="W234" s="663">
        <v>0</v>
      </c>
      <c r="X234" s="663">
        <v>0</v>
      </c>
      <c r="Y234" s="664">
        <v>0</v>
      </c>
      <c r="Z234" s="138" t="s">
        <v>894</v>
      </c>
      <c r="AA234" s="261" t="s">
        <v>7</v>
      </c>
      <c r="AB234" s="533" t="s">
        <v>673</v>
      </c>
      <c r="AC234" s="533" t="s">
        <v>58</v>
      </c>
      <c r="AD234" s="286" t="s">
        <v>69</v>
      </c>
      <c r="AE234" s="925" t="s">
        <v>120</v>
      </c>
      <c r="AF234" s="925" t="s">
        <v>383</v>
      </c>
    </row>
    <row r="235" spans="1:32" ht="26.4" outlineLevel="1" x14ac:dyDescent="0.25">
      <c r="A235" s="371" t="s">
        <v>104</v>
      </c>
      <c r="B235" s="372" t="s">
        <v>314</v>
      </c>
      <c r="C235" s="541" t="s">
        <v>106</v>
      </c>
      <c r="D235" s="35" t="s">
        <v>570</v>
      </c>
      <c r="E235" s="47" t="s">
        <v>4</v>
      </c>
      <c r="F235" s="35" t="s">
        <v>105</v>
      </c>
      <c r="G235" s="542">
        <v>55000</v>
      </c>
      <c r="H235" s="543">
        <v>508.2</v>
      </c>
      <c r="I235" s="544">
        <v>0</v>
      </c>
      <c r="J235" s="545">
        <v>0</v>
      </c>
      <c r="K235" s="374">
        <v>0</v>
      </c>
      <c r="L235" s="546">
        <f t="shared" si="49"/>
        <v>2491.8000000000029</v>
      </c>
      <c r="M235" s="130">
        <v>4491.8000000000029</v>
      </c>
      <c r="N235" s="547">
        <v>-2000</v>
      </c>
      <c r="O235" s="547">
        <f t="shared" si="34"/>
        <v>2491.8000000000029</v>
      </c>
      <c r="P235" s="56">
        <v>12000</v>
      </c>
      <c r="Q235" s="53">
        <v>40000</v>
      </c>
      <c r="R235" s="665">
        <v>0</v>
      </c>
      <c r="S235" s="666">
        <v>0</v>
      </c>
      <c r="T235" s="667">
        <v>0</v>
      </c>
      <c r="U235" s="544">
        <v>55000</v>
      </c>
      <c r="V235" s="614">
        <v>484</v>
      </c>
      <c r="W235" s="614">
        <v>0</v>
      </c>
      <c r="X235" s="668">
        <v>2491.8000000000029</v>
      </c>
      <c r="Y235" s="613">
        <v>52024.2</v>
      </c>
      <c r="Z235" s="36" t="s">
        <v>895</v>
      </c>
      <c r="AA235" s="34" t="s">
        <v>5</v>
      </c>
      <c r="AB235" s="548" t="s">
        <v>330</v>
      </c>
      <c r="AC235" s="548" t="s">
        <v>58</v>
      </c>
      <c r="AD235" s="168" t="s">
        <v>67</v>
      </c>
      <c r="AE235" s="869" t="s">
        <v>340</v>
      </c>
      <c r="AF235" s="869" t="s">
        <v>383</v>
      </c>
    </row>
    <row r="236" spans="1:32" ht="53.4" outlineLevel="1" thickBot="1" x14ac:dyDescent="0.3">
      <c r="A236" s="549" t="s">
        <v>107</v>
      </c>
      <c r="B236" s="550" t="s">
        <v>257</v>
      </c>
      <c r="C236" s="551" t="s">
        <v>108</v>
      </c>
      <c r="D236" s="364" t="s">
        <v>570</v>
      </c>
      <c r="E236" s="192" t="s">
        <v>96</v>
      </c>
      <c r="F236" s="364" t="s">
        <v>96</v>
      </c>
      <c r="G236" s="552">
        <f>15000 + 17000 +86883.3</f>
        <v>118883.3</v>
      </c>
      <c r="H236" s="553">
        <v>2671.6149999999998</v>
      </c>
      <c r="I236" s="554">
        <v>0</v>
      </c>
      <c r="J236" s="555">
        <v>0</v>
      </c>
      <c r="K236" s="556">
        <v>0</v>
      </c>
      <c r="L236" s="557">
        <f t="shared" si="49"/>
        <v>4328.3849999999984</v>
      </c>
      <c r="M236" s="558">
        <v>29328.384999999998</v>
      </c>
      <c r="N236" s="559">
        <v>-25000</v>
      </c>
      <c r="O236" s="559">
        <f t="shared" si="34"/>
        <v>4328.3849999999984</v>
      </c>
      <c r="P236" s="560">
        <v>85000</v>
      </c>
      <c r="Q236" s="561">
        <v>26883.3</v>
      </c>
      <c r="R236" s="669">
        <v>0</v>
      </c>
      <c r="S236" s="670">
        <v>0</v>
      </c>
      <c r="T236" s="671">
        <v>0</v>
      </c>
      <c r="U236" s="554">
        <v>32000</v>
      </c>
      <c r="V236" s="672">
        <v>2671.6150000000002</v>
      </c>
      <c r="W236" s="672">
        <v>0</v>
      </c>
      <c r="X236" s="1080">
        <v>4328.3850000000002</v>
      </c>
      <c r="Y236" s="1081">
        <v>25000</v>
      </c>
      <c r="Z236" s="283" t="s">
        <v>896</v>
      </c>
      <c r="AA236" s="562" t="s">
        <v>9</v>
      </c>
      <c r="AB236" s="563" t="s">
        <v>949</v>
      </c>
      <c r="AC236" s="563" t="s">
        <v>59</v>
      </c>
      <c r="AD236" s="564" t="s">
        <v>68</v>
      </c>
      <c r="AE236" s="565" t="s">
        <v>119</v>
      </c>
      <c r="AF236" s="565" t="s">
        <v>383</v>
      </c>
    </row>
    <row r="237" spans="1:32" ht="31.8" outlineLevel="1" thickBot="1" x14ac:dyDescent="0.3">
      <c r="A237" s="527" t="s">
        <v>167</v>
      </c>
      <c r="B237" s="527" t="s">
        <v>341</v>
      </c>
      <c r="C237" s="529" t="s">
        <v>230</v>
      </c>
      <c r="D237" s="138" t="s">
        <v>561</v>
      </c>
      <c r="E237" s="131" t="s">
        <v>34</v>
      </c>
      <c r="F237" s="138" t="s">
        <v>34</v>
      </c>
      <c r="G237" s="566">
        <v>200000</v>
      </c>
      <c r="H237" s="567">
        <v>1681.2950000000001</v>
      </c>
      <c r="I237" s="568">
        <v>0</v>
      </c>
      <c r="J237" s="569">
        <v>3.0249999999999999</v>
      </c>
      <c r="K237" s="400">
        <v>0</v>
      </c>
      <c r="L237" s="570">
        <f t="shared" si="49"/>
        <v>28318.704999999958</v>
      </c>
      <c r="M237" s="531">
        <v>58318.704999999958</v>
      </c>
      <c r="N237" s="484">
        <v>-30000</v>
      </c>
      <c r="O237" s="484">
        <f t="shared" si="34"/>
        <v>28318.704999999958</v>
      </c>
      <c r="P237" s="539">
        <v>170000</v>
      </c>
      <c r="Q237" s="540">
        <v>0</v>
      </c>
      <c r="R237" s="585">
        <v>0</v>
      </c>
      <c r="S237" s="586">
        <v>0</v>
      </c>
      <c r="T237" s="587">
        <v>0</v>
      </c>
      <c r="U237" s="568">
        <v>168045</v>
      </c>
      <c r="V237" s="663">
        <v>0</v>
      </c>
      <c r="W237" s="663">
        <v>3.0249999999999999</v>
      </c>
      <c r="X237" s="673">
        <v>28318.705000000002</v>
      </c>
      <c r="Y237" s="664">
        <v>139726.29500000001</v>
      </c>
      <c r="Z237" s="138" t="s">
        <v>897</v>
      </c>
      <c r="AA237" s="261" t="s">
        <v>9</v>
      </c>
      <c r="AB237" s="533" t="s">
        <v>796</v>
      </c>
      <c r="AC237" s="571" t="s">
        <v>59</v>
      </c>
      <c r="AD237" s="261">
        <v>1</v>
      </c>
      <c r="AE237" s="890" t="s">
        <v>121</v>
      </c>
      <c r="AF237" s="890" t="s">
        <v>383</v>
      </c>
    </row>
    <row r="238" spans="1:32" ht="26.4" outlineLevel="1" x14ac:dyDescent="0.25">
      <c r="A238" s="284" t="s">
        <v>231</v>
      </c>
      <c r="B238" s="371" t="s">
        <v>391</v>
      </c>
      <c r="C238" s="541" t="s">
        <v>233</v>
      </c>
      <c r="D238" s="35" t="s">
        <v>898</v>
      </c>
      <c r="E238" s="47" t="s">
        <v>232</v>
      </c>
      <c r="F238" s="35" t="s">
        <v>232</v>
      </c>
      <c r="G238" s="542">
        <v>300</v>
      </c>
      <c r="H238" s="543">
        <v>0</v>
      </c>
      <c r="I238" s="544">
        <v>0</v>
      </c>
      <c r="J238" s="545">
        <v>0</v>
      </c>
      <c r="K238" s="379">
        <v>0</v>
      </c>
      <c r="L238" s="572">
        <f t="shared" si="49"/>
        <v>0</v>
      </c>
      <c r="M238" s="130">
        <v>300</v>
      </c>
      <c r="N238" s="377">
        <v>-300</v>
      </c>
      <c r="O238" s="547">
        <f t="shared" si="34"/>
        <v>0</v>
      </c>
      <c r="P238" s="56">
        <v>300</v>
      </c>
      <c r="Q238" s="53">
        <v>0</v>
      </c>
      <c r="R238" s="665">
        <v>0</v>
      </c>
      <c r="S238" s="666">
        <v>0</v>
      </c>
      <c r="T238" s="667">
        <v>0</v>
      </c>
      <c r="U238" s="544">
        <v>0</v>
      </c>
      <c r="V238" s="614">
        <v>0</v>
      </c>
      <c r="W238" s="614">
        <v>0</v>
      </c>
      <c r="X238" s="614">
        <v>0</v>
      </c>
      <c r="Y238" s="613">
        <v>0</v>
      </c>
      <c r="Z238" s="35" t="s">
        <v>899</v>
      </c>
      <c r="AA238" s="34" t="s">
        <v>7</v>
      </c>
      <c r="AB238" s="548" t="s">
        <v>330</v>
      </c>
      <c r="AC238" s="573" t="s">
        <v>58</v>
      </c>
      <c r="AD238" s="926">
        <v>1</v>
      </c>
      <c r="AE238" s="869" t="s">
        <v>124</v>
      </c>
      <c r="AF238" s="869" t="s">
        <v>383</v>
      </c>
    </row>
    <row r="239" spans="1:32" ht="27" outlineLevel="1" thickBot="1" x14ac:dyDescent="0.3">
      <c r="A239" s="284" t="s">
        <v>235</v>
      </c>
      <c r="B239" s="382" t="s">
        <v>392</v>
      </c>
      <c r="C239" s="574" t="s">
        <v>234</v>
      </c>
      <c r="D239" s="35" t="s">
        <v>898</v>
      </c>
      <c r="E239" s="28" t="s">
        <v>236</v>
      </c>
      <c r="F239" s="36" t="s">
        <v>236</v>
      </c>
      <c r="G239" s="575">
        <v>3000</v>
      </c>
      <c r="H239" s="576">
        <v>118.58</v>
      </c>
      <c r="I239" s="577">
        <v>0</v>
      </c>
      <c r="J239" s="578">
        <v>0</v>
      </c>
      <c r="K239" s="389">
        <v>0</v>
      </c>
      <c r="L239" s="579">
        <f t="shared" si="49"/>
        <v>1381.42</v>
      </c>
      <c r="M239" s="385">
        <v>2881.42</v>
      </c>
      <c r="N239" s="386">
        <v>-1500</v>
      </c>
      <c r="O239" s="387">
        <f t="shared" si="34"/>
        <v>1381.42</v>
      </c>
      <c r="P239" s="59">
        <v>1500</v>
      </c>
      <c r="Q239" s="48">
        <v>0</v>
      </c>
      <c r="R239" s="604">
        <v>0</v>
      </c>
      <c r="S239" s="91">
        <v>0</v>
      </c>
      <c r="T239" s="58">
        <v>0</v>
      </c>
      <c r="U239" s="577">
        <v>0</v>
      </c>
      <c r="V239" s="602">
        <v>0</v>
      </c>
      <c r="W239" s="602">
        <v>0</v>
      </c>
      <c r="X239" s="602">
        <v>0</v>
      </c>
      <c r="Y239" s="95">
        <v>0</v>
      </c>
      <c r="Z239" s="36" t="s">
        <v>900</v>
      </c>
      <c r="AA239" s="57" t="s">
        <v>9</v>
      </c>
      <c r="AB239" s="580" t="s">
        <v>573</v>
      </c>
      <c r="AC239" s="581" t="s">
        <v>59</v>
      </c>
      <c r="AD239" s="927">
        <v>1</v>
      </c>
      <c r="AE239" s="878" t="s">
        <v>125</v>
      </c>
      <c r="AF239" s="878" t="s">
        <v>383</v>
      </c>
    </row>
    <row r="240" spans="1:32" ht="31.2" outlineLevel="1" x14ac:dyDescent="0.25">
      <c r="A240" s="582" t="s">
        <v>276</v>
      </c>
      <c r="B240" s="1452" t="s">
        <v>394</v>
      </c>
      <c r="C240" s="1453" t="s">
        <v>277</v>
      </c>
      <c r="D240" s="1355" t="s">
        <v>520</v>
      </c>
      <c r="E240" s="1359" t="s">
        <v>278</v>
      </c>
      <c r="F240" s="1355" t="s">
        <v>278</v>
      </c>
      <c r="G240" s="1454">
        <f>5800-1900+2000+613</f>
        <v>6513</v>
      </c>
      <c r="H240" s="1259">
        <v>3719.3497600000001</v>
      </c>
      <c r="I240" s="1260">
        <v>498.06175999999999</v>
      </c>
      <c r="J240" s="1261">
        <v>0</v>
      </c>
      <c r="K240" s="1262">
        <v>498.06175999999999</v>
      </c>
      <c r="L240" s="1165">
        <f t="shared" si="49"/>
        <v>2295.5884799999999</v>
      </c>
      <c r="M240" s="1166">
        <v>2180.6502399999999</v>
      </c>
      <c r="N240" s="583">
        <v>613</v>
      </c>
      <c r="O240" s="1527">
        <f t="shared" si="34"/>
        <v>2793.6502399999999</v>
      </c>
      <c r="P240" s="1661">
        <v>0</v>
      </c>
      <c r="Q240" s="1661">
        <v>0</v>
      </c>
      <c r="R240" s="1705">
        <v>0</v>
      </c>
      <c r="S240" s="1706">
        <v>0</v>
      </c>
      <c r="T240" s="1707">
        <v>0</v>
      </c>
      <c r="U240" s="1260">
        <v>0</v>
      </c>
      <c r="V240" s="1275">
        <v>0</v>
      </c>
      <c r="W240" s="1275">
        <v>0</v>
      </c>
      <c r="X240" s="1275">
        <v>0</v>
      </c>
      <c r="Y240" s="1708">
        <v>0</v>
      </c>
      <c r="Z240" s="1355" t="s">
        <v>901</v>
      </c>
      <c r="AA240" s="1709" t="s">
        <v>9</v>
      </c>
      <c r="AB240" s="1710" t="s">
        <v>582</v>
      </c>
      <c r="AC240" s="1711" t="s">
        <v>59</v>
      </c>
      <c r="AD240" s="1712">
        <v>1</v>
      </c>
      <c r="AE240" s="1544" t="s">
        <v>125</v>
      </c>
      <c r="AF240" s="1544" t="s">
        <v>383</v>
      </c>
    </row>
    <row r="241" spans="1:32" ht="40.200000000000003" outlineLevel="1" thickBot="1" x14ac:dyDescent="0.3">
      <c r="A241" s="477" t="s">
        <v>280</v>
      </c>
      <c r="B241" s="477" t="s">
        <v>395</v>
      </c>
      <c r="C241" s="588" t="s">
        <v>281</v>
      </c>
      <c r="D241" s="51" t="s">
        <v>520</v>
      </c>
      <c r="E241" s="64" t="s">
        <v>282</v>
      </c>
      <c r="F241" s="51" t="s">
        <v>282</v>
      </c>
      <c r="G241" s="589">
        <v>17250</v>
      </c>
      <c r="H241" s="590">
        <v>0</v>
      </c>
      <c r="I241" s="591">
        <v>0</v>
      </c>
      <c r="J241" s="592">
        <v>0</v>
      </c>
      <c r="K241" s="593">
        <v>0</v>
      </c>
      <c r="L241" s="594">
        <f t="shared" si="49"/>
        <v>0</v>
      </c>
      <c r="M241" s="597">
        <v>7000</v>
      </c>
      <c r="N241" s="598">
        <v>-7000</v>
      </c>
      <c r="O241" s="106">
        <f t="shared" si="34"/>
        <v>0</v>
      </c>
      <c r="P241" s="66">
        <v>15250</v>
      </c>
      <c r="Q241" s="66">
        <v>0</v>
      </c>
      <c r="R241" s="674">
        <v>2000</v>
      </c>
      <c r="S241" s="101">
        <v>0</v>
      </c>
      <c r="T241" s="100">
        <v>0</v>
      </c>
      <c r="U241" s="591">
        <v>0</v>
      </c>
      <c r="V241" s="640">
        <v>0</v>
      </c>
      <c r="W241" s="640">
        <v>0</v>
      </c>
      <c r="X241" s="640">
        <v>0</v>
      </c>
      <c r="Y241" s="639">
        <v>0</v>
      </c>
      <c r="Z241" s="51" t="s">
        <v>902</v>
      </c>
      <c r="AA241" s="135" t="s">
        <v>5</v>
      </c>
      <c r="AB241" s="599" t="s">
        <v>286</v>
      </c>
      <c r="AC241" s="600" t="s">
        <v>58</v>
      </c>
      <c r="AD241" s="930">
        <v>3</v>
      </c>
      <c r="AE241" s="905" t="s">
        <v>126</v>
      </c>
      <c r="AF241" s="905" t="s">
        <v>383</v>
      </c>
    </row>
    <row r="242" spans="1:32" ht="26.4" outlineLevel="1" x14ac:dyDescent="0.25">
      <c r="A242" s="288" t="s">
        <v>292</v>
      </c>
      <c r="B242" s="219" t="s">
        <v>396</v>
      </c>
      <c r="C242" s="1455" t="s">
        <v>279</v>
      </c>
      <c r="D242" s="1333" t="s">
        <v>564</v>
      </c>
      <c r="E242" s="1334" t="s">
        <v>293</v>
      </c>
      <c r="F242" s="1333" t="s">
        <v>293</v>
      </c>
      <c r="G242" s="1389">
        <f>370 - 169.6056+169.6056-20.7456</f>
        <v>349.25439999999998</v>
      </c>
      <c r="H242" s="1263">
        <v>200.39439999999999</v>
      </c>
      <c r="I242" s="1264">
        <v>148.86000000000001</v>
      </c>
      <c r="J242" s="1265">
        <v>0</v>
      </c>
      <c r="K242" s="1132">
        <v>148.86000000000001</v>
      </c>
      <c r="L242" s="1133">
        <f t="shared" si="49"/>
        <v>0</v>
      </c>
      <c r="M242" s="1134">
        <v>169.60560000000001</v>
      </c>
      <c r="N242" s="1735">
        <v>-20.7456</v>
      </c>
      <c r="O242" s="1497">
        <f t="shared" si="34"/>
        <v>148.86000000000001</v>
      </c>
      <c r="P242" s="1713">
        <v>0</v>
      </c>
      <c r="Q242" s="1681">
        <v>0</v>
      </c>
      <c r="R242" s="1683">
        <v>0</v>
      </c>
      <c r="S242" s="1684">
        <v>0</v>
      </c>
      <c r="T242" s="1682">
        <v>0</v>
      </c>
      <c r="U242" s="1264">
        <v>0</v>
      </c>
      <c r="V242" s="1579">
        <v>0</v>
      </c>
      <c r="W242" s="1579">
        <v>0</v>
      </c>
      <c r="X242" s="1579">
        <v>0</v>
      </c>
      <c r="Y242" s="1714">
        <v>0</v>
      </c>
      <c r="Z242" s="1327" t="s">
        <v>938</v>
      </c>
      <c r="AA242" s="1685" t="s">
        <v>62</v>
      </c>
      <c r="AB242" s="1687" t="s">
        <v>582</v>
      </c>
      <c r="AC242" s="1715" t="s">
        <v>59</v>
      </c>
      <c r="AD242" s="1716">
        <v>1</v>
      </c>
      <c r="AE242" s="1335" t="s">
        <v>120</v>
      </c>
      <c r="AF242" s="1335" t="s">
        <v>383</v>
      </c>
    </row>
    <row r="243" spans="1:32" ht="27" outlineLevel="1" thickBot="1" x14ac:dyDescent="0.3">
      <c r="A243" s="307" t="s">
        <v>294</v>
      </c>
      <c r="B243" s="527" t="s">
        <v>397</v>
      </c>
      <c r="C243" s="588" t="s">
        <v>295</v>
      </c>
      <c r="D243" s="51" t="s">
        <v>564</v>
      </c>
      <c r="E243" s="64" t="s">
        <v>35</v>
      </c>
      <c r="F243" s="51" t="s">
        <v>35</v>
      </c>
      <c r="G243" s="589">
        <v>302.5</v>
      </c>
      <c r="H243" s="590">
        <v>0</v>
      </c>
      <c r="I243" s="591">
        <v>0</v>
      </c>
      <c r="J243" s="592">
        <v>0</v>
      </c>
      <c r="K243" s="593">
        <v>0</v>
      </c>
      <c r="L243" s="594">
        <f t="shared" si="49"/>
        <v>0</v>
      </c>
      <c r="M243" s="597">
        <v>302.5</v>
      </c>
      <c r="N243" s="598">
        <v>-302.5</v>
      </c>
      <c r="O243" s="106">
        <f t="shared" si="34"/>
        <v>0</v>
      </c>
      <c r="P243" s="66">
        <v>302.5</v>
      </c>
      <c r="Q243" s="66">
        <v>0</v>
      </c>
      <c r="R243" s="674">
        <v>0</v>
      </c>
      <c r="S243" s="101">
        <v>0</v>
      </c>
      <c r="T243" s="100">
        <v>0</v>
      </c>
      <c r="U243" s="591">
        <v>0</v>
      </c>
      <c r="V243" s="640">
        <v>0</v>
      </c>
      <c r="W243" s="640">
        <v>0</v>
      </c>
      <c r="X243" s="640">
        <v>0</v>
      </c>
      <c r="Y243" s="641">
        <v>0</v>
      </c>
      <c r="Z243" s="51" t="s">
        <v>903</v>
      </c>
      <c r="AA243" s="135" t="s">
        <v>9</v>
      </c>
      <c r="AB243" s="599" t="s">
        <v>584</v>
      </c>
      <c r="AC243" s="600" t="s">
        <v>59</v>
      </c>
      <c r="AD243" s="930">
        <v>1</v>
      </c>
      <c r="AE243" s="905" t="s">
        <v>123</v>
      </c>
      <c r="AF243" s="905" t="s">
        <v>383</v>
      </c>
    </row>
    <row r="244" spans="1:32" ht="31.2" outlineLevel="1" x14ac:dyDescent="0.25">
      <c r="A244" s="216" t="s">
        <v>345</v>
      </c>
      <c r="B244" s="216" t="s">
        <v>398</v>
      </c>
      <c r="C244" s="1819" t="s">
        <v>346</v>
      </c>
      <c r="D244" s="1333" t="s">
        <v>546</v>
      </c>
      <c r="E244" s="1391" t="s">
        <v>39</v>
      </c>
      <c r="F244" s="1390" t="s">
        <v>39</v>
      </c>
      <c r="G244" s="1392">
        <f>1800-400-6.08</f>
        <v>1393.92</v>
      </c>
      <c r="H244" s="1194">
        <v>0</v>
      </c>
      <c r="I244" s="1269">
        <v>0</v>
      </c>
      <c r="J244" s="1270">
        <v>1393.92</v>
      </c>
      <c r="K244" s="1192">
        <v>0</v>
      </c>
      <c r="L244" s="1193">
        <f t="shared" ref="L244:L249" si="50">O244-K244</f>
        <v>1393.92</v>
      </c>
      <c r="M244" s="1160">
        <v>1400</v>
      </c>
      <c r="N244" s="224">
        <v>-6.08</v>
      </c>
      <c r="O244" s="1396">
        <f t="shared" ref="O244:O267" si="51">M244+N244</f>
        <v>1393.92</v>
      </c>
      <c r="P244" s="1659">
        <v>0</v>
      </c>
      <c r="Q244" s="1659">
        <v>0</v>
      </c>
      <c r="R244" s="1675">
        <v>0</v>
      </c>
      <c r="S244" s="1676">
        <v>0</v>
      </c>
      <c r="T244" s="1674">
        <v>0</v>
      </c>
      <c r="U244" s="1269">
        <v>0</v>
      </c>
      <c r="V244" s="1271">
        <v>0</v>
      </c>
      <c r="W244" s="1271">
        <v>0</v>
      </c>
      <c r="X244" s="1271">
        <v>0</v>
      </c>
      <c r="Y244" s="1279">
        <v>0</v>
      </c>
      <c r="Z244" s="1390" t="s">
        <v>904</v>
      </c>
      <c r="AA244" s="1390" t="s">
        <v>62</v>
      </c>
      <c r="AB244" s="1679" t="s">
        <v>582</v>
      </c>
      <c r="AC244" s="1718" t="s">
        <v>59</v>
      </c>
      <c r="AD244" s="1719">
        <v>1</v>
      </c>
      <c r="AE244" s="1434" t="s">
        <v>130</v>
      </c>
      <c r="AF244" s="1820" t="s">
        <v>383</v>
      </c>
    </row>
    <row r="245" spans="1:32" ht="31.2" outlineLevel="1" x14ac:dyDescent="0.25">
      <c r="A245" s="284" t="s">
        <v>399</v>
      </c>
      <c r="B245" s="371" t="s">
        <v>659</v>
      </c>
      <c r="C245" s="541" t="s">
        <v>400</v>
      </c>
      <c r="D245" s="35" t="s">
        <v>571</v>
      </c>
      <c r="E245" s="47" t="s">
        <v>401</v>
      </c>
      <c r="F245" s="35" t="s">
        <v>401</v>
      </c>
      <c r="G245" s="542">
        <v>6785</v>
      </c>
      <c r="H245" s="96">
        <v>1554.7669999999998</v>
      </c>
      <c r="I245" s="577">
        <v>0</v>
      </c>
      <c r="J245" s="578">
        <v>252.16399999999999</v>
      </c>
      <c r="K245" s="602">
        <v>0</v>
      </c>
      <c r="L245" s="682">
        <f t="shared" si="50"/>
        <v>252.16399999999999</v>
      </c>
      <c r="M245" s="385">
        <v>2230.2330000000002</v>
      </c>
      <c r="N245" s="386">
        <f>-2230.233+252.164</f>
        <v>-1978.0690000000002</v>
      </c>
      <c r="O245" s="387">
        <f t="shared" si="51"/>
        <v>252.16399999999999</v>
      </c>
      <c r="P245" s="59">
        <f>3000+2230.233-252.164</f>
        <v>4978.0690000000004</v>
      </c>
      <c r="Q245" s="603">
        <v>0</v>
      </c>
      <c r="R245" s="604">
        <v>0</v>
      </c>
      <c r="S245" s="91">
        <v>0</v>
      </c>
      <c r="T245" s="58">
        <v>0</v>
      </c>
      <c r="U245" s="577">
        <v>0</v>
      </c>
      <c r="V245" s="602">
        <v>0</v>
      </c>
      <c r="W245" s="602">
        <v>0</v>
      </c>
      <c r="X245" s="602">
        <v>0</v>
      </c>
      <c r="Y245" s="605">
        <v>0</v>
      </c>
      <c r="Z245" s="36" t="s">
        <v>939</v>
      </c>
      <c r="AA245" s="57" t="s">
        <v>5</v>
      </c>
      <c r="AB245" s="580" t="s">
        <v>242</v>
      </c>
      <c r="AC245" s="581" t="s">
        <v>58</v>
      </c>
      <c r="AD245" s="927">
        <v>1</v>
      </c>
      <c r="AE245" s="878" t="s">
        <v>123</v>
      </c>
      <c r="AF245" s="878" t="s">
        <v>383</v>
      </c>
    </row>
    <row r="246" spans="1:32" ht="26.4" outlineLevel="1" x14ac:dyDescent="0.25">
      <c r="A246" s="606" t="s">
        <v>402</v>
      </c>
      <c r="B246" s="219" t="s">
        <v>501</v>
      </c>
      <c r="C246" s="1455" t="s">
        <v>403</v>
      </c>
      <c r="D246" s="1333" t="s">
        <v>571</v>
      </c>
      <c r="E246" s="1334" t="s">
        <v>38</v>
      </c>
      <c r="F246" s="1333" t="s">
        <v>38</v>
      </c>
      <c r="G246" s="1389">
        <f>1000+200-305.81</f>
        <v>894.19</v>
      </c>
      <c r="H246" s="1194">
        <v>894.19</v>
      </c>
      <c r="I246" s="1269">
        <v>0</v>
      </c>
      <c r="J246" s="1270">
        <v>0</v>
      </c>
      <c r="K246" s="1271">
        <v>0</v>
      </c>
      <c r="L246" s="1272">
        <f t="shared" si="50"/>
        <v>0</v>
      </c>
      <c r="M246" s="1160">
        <v>305.80999999999995</v>
      </c>
      <c r="N246" s="224">
        <v>-305.81</v>
      </c>
      <c r="O246" s="1396">
        <f t="shared" si="51"/>
        <v>0</v>
      </c>
      <c r="P246" s="1659">
        <v>0</v>
      </c>
      <c r="Q246" s="1717">
        <v>0</v>
      </c>
      <c r="R246" s="1675">
        <v>0</v>
      </c>
      <c r="S246" s="1676">
        <v>0</v>
      </c>
      <c r="T246" s="1674">
        <v>0</v>
      </c>
      <c r="U246" s="1269">
        <v>0</v>
      </c>
      <c r="V246" s="1271">
        <v>0</v>
      </c>
      <c r="W246" s="1271">
        <v>0</v>
      </c>
      <c r="X246" s="1271">
        <v>0</v>
      </c>
      <c r="Y246" s="1279">
        <v>0</v>
      </c>
      <c r="Z246" s="1373" t="s">
        <v>905</v>
      </c>
      <c r="AA246" s="1677" t="s">
        <v>62</v>
      </c>
      <c r="AB246" s="1679" t="s">
        <v>330</v>
      </c>
      <c r="AC246" s="1718" t="s">
        <v>59</v>
      </c>
      <c r="AD246" s="1719">
        <v>1</v>
      </c>
      <c r="AE246" s="1434" t="s">
        <v>133</v>
      </c>
      <c r="AF246" s="1434" t="s">
        <v>383</v>
      </c>
    </row>
    <row r="247" spans="1:32" ht="26.4" outlineLevel="1" x14ac:dyDescent="0.25">
      <c r="A247" s="288" t="s">
        <v>404</v>
      </c>
      <c r="B247" s="219" t="s">
        <v>495</v>
      </c>
      <c r="C247" s="1455" t="s">
        <v>405</v>
      </c>
      <c r="D247" s="1333" t="s">
        <v>571</v>
      </c>
      <c r="E247" s="1334" t="s">
        <v>406</v>
      </c>
      <c r="F247" s="1333" t="s">
        <v>406</v>
      </c>
      <c r="G247" s="1389">
        <f>1500+800-893.7977</f>
        <v>1406.2022999999999</v>
      </c>
      <c r="H247" s="1194">
        <v>695.50529999999992</v>
      </c>
      <c r="I247" s="1269">
        <v>710.697</v>
      </c>
      <c r="J247" s="1270">
        <v>0</v>
      </c>
      <c r="K247" s="1271">
        <v>710.697</v>
      </c>
      <c r="L247" s="1273">
        <f t="shared" si="50"/>
        <v>0</v>
      </c>
      <c r="M247" s="1160">
        <v>1604.4947000000002</v>
      </c>
      <c r="N247" s="224">
        <v>-893.79769999999996</v>
      </c>
      <c r="O247" s="1396">
        <f t="shared" si="51"/>
        <v>710.69700000000023</v>
      </c>
      <c r="P247" s="1659">
        <v>0</v>
      </c>
      <c r="Q247" s="1717">
        <v>0</v>
      </c>
      <c r="R247" s="1675">
        <v>0</v>
      </c>
      <c r="S247" s="1676">
        <v>0</v>
      </c>
      <c r="T247" s="1674">
        <v>0</v>
      </c>
      <c r="U247" s="1269">
        <v>0</v>
      </c>
      <c r="V247" s="1271">
        <v>0</v>
      </c>
      <c r="W247" s="1271">
        <v>0</v>
      </c>
      <c r="X247" s="1271">
        <v>0</v>
      </c>
      <c r="Y247" s="1279">
        <v>0</v>
      </c>
      <c r="Z247" s="1390" t="s">
        <v>906</v>
      </c>
      <c r="AA247" s="1677" t="s">
        <v>62</v>
      </c>
      <c r="AB247" s="1679" t="s">
        <v>330</v>
      </c>
      <c r="AC247" s="1718" t="s">
        <v>59</v>
      </c>
      <c r="AD247" s="1719">
        <v>1</v>
      </c>
      <c r="AE247" s="1434" t="s">
        <v>123</v>
      </c>
      <c r="AF247" s="1434" t="s">
        <v>383</v>
      </c>
    </row>
    <row r="248" spans="1:32" ht="26.4" outlineLevel="1" x14ac:dyDescent="0.25">
      <c r="A248" s="607" t="s">
        <v>462</v>
      </c>
      <c r="B248" s="608" t="s">
        <v>500</v>
      </c>
      <c r="C248" s="1453" t="s">
        <v>464</v>
      </c>
      <c r="D248" s="1355" t="s">
        <v>545</v>
      </c>
      <c r="E248" s="1359" t="s">
        <v>291</v>
      </c>
      <c r="F248" s="1355" t="s">
        <v>291</v>
      </c>
      <c r="G248" s="1454">
        <f>2000 + 10000</f>
        <v>12000</v>
      </c>
      <c r="H248" s="1274">
        <v>845.79</v>
      </c>
      <c r="I248" s="1260">
        <v>0</v>
      </c>
      <c r="J248" s="1261">
        <v>0</v>
      </c>
      <c r="K248" s="1275">
        <v>0</v>
      </c>
      <c r="L248" s="1276">
        <f t="shared" si="50"/>
        <v>1154.21</v>
      </c>
      <c r="M248" s="1166">
        <v>1154.21</v>
      </c>
      <c r="N248" s="583">
        <v>0</v>
      </c>
      <c r="O248" s="1527">
        <f t="shared" si="51"/>
        <v>1154.21</v>
      </c>
      <c r="P248" s="1661">
        <v>10000</v>
      </c>
      <c r="Q248" s="1720">
        <v>0</v>
      </c>
      <c r="R248" s="1705">
        <v>0</v>
      </c>
      <c r="S248" s="1706">
        <v>0</v>
      </c>
      <c r="T248" s="1707">
        <v>0</v>
      </c>
      <c r="U248" s="1260">
        <v>0</v>
      </c>
      <c r="V248" s="1275">
        <v>0</v>
      </c>
      <c r="W248" s="1275">
        <v>0</v>
      </c>
      <c r="X248" s="1275">
        <v>0</v>
      </c>
      <c r="Y248" s="1721">
        <v>0</v>
      </c>
      <c r="Z248" s="1355" t="s">
        <v>944</v>
      </c>
      <c r="AA248" s="1709" t="s">
        <v>5</v>
      </c>
      <c r="AB248" s="1710" t="s">
        <v>242</v>
      </c>
      <c r="AC248" s="1711" t="s">
        <v>58</v>
      </c>
      <c r="AD248" s="1712">
        <v>1</v>
      </c>
      <c r="AE248" s="1544" t="s">
        <v>139</v>
      </c>
      <c r="AF248" s="1544" t="s">
        <v>383</v>
      </c>
    </row>
    <row r="249" spans="1:32" ht="26.4" outlineLevel="1" x14ac:dyDescent="0.25">
      <c r="A249" s="216" t="s">
        <v>506</v>
      </c>
      <c r="B249" s="216" t="s">
        <v>640</v>
      </c>
      <c r="C249" s="1387" t="s">
        <v>507</v>
      </c>
      <c r="D249" s="1390" t="s">
        <v>579</v>
      </c>
      <c r="E249" s="1391" t="s">
        <v>50</v>
      </c>
      <c r="F249" s="1390" t="s">
        <v>50</v>
      </c>
      <c r="G249" s="1392">
        <f>1800-156.86855</f>
        <v>1643.1314500000001</v>
      </c>
      <c r="H249" s="1194">
        <v>984.25099999999998</v>
      </c>
      <c r="I249" s="1269">
        <v>0</v>
      </c>
      <c r="J249" s="1278">
        <v>658.88045</v>
      </c>
      <c r="K249" s="1271">
        <v>0</v>
      </c>
      <c r="L249" s="1279">
        <f t="shared" si="50"/>
        <v>658.88045</v>
      </c>
      <c r="M249" s="1160">
        <v>815.74900000000002</v>
      </c>
      <c r="N249" s="217">
        <v>-156.86855</v>
      </c>
      <c r="O249" s="1396">
        <f t="shared" si="51"/>
        <v>658.88045</v>
      </c>
      <c r="P249" s="1659">
        <v>0</v>
      </c>
      <c r="Q249" s="1659">
        <v>0</v>
      </c>
      <c r="R249" s="1675">
        <v>0</v>
      </c>
      <c r="S249" s="1676">
        <v>0</v>
      </c>
      <c r="T249" s="1717">
        <v>0</v>
      </c>
      <c r="U249" s="1269">
        <v>0</v>
      </c>
      <c r="V249" s="1271">
        <v>0</v>
      </c>
      <c r="W249" s="1271">
        <v>0</v>
      </c>
      <c r="X249" s="1271">
        <v>0</v>
      </c>
      <c r="Y249" s="1279">
        <v>0</v>
      </c>
      <c r="Z249" s="1390" t="s">
        <v>907</v>
      </c>
      <c r="AA249" s="1677" t="s">
        <v>62</v>
      </c>
      <c r="AB249" s="1722" t="s">
        <v>425</v>
      </c>
      <c r="AC249" s="1718" t="s">
        <v>59</v>
      </c>
      <c r="AD249" s="1719">
        <v>1</v>
      </c>
      <c r="AE249" s="1434" t="s">
        <v>128</v>
      </c>
      <c r="AF249" s="1434" t="s">
        <v>467</v>
      </c>
    </row>
    <row r="250" spans="1:32" ht="26.4" outlineLevel="1" x14ac:dyDescent="0.25">
      <c r="A250" s="382" t="s">
        <v>508</v>
      </c>
      <c r="B250" s="382" t="s">
        <v>54</v>
      </c>
      <c r="C250" s="609" t="s">
        <v>509</v>
      </c>
      <c r="D250" s="36" t="s">
        <v>579</v>
      </c>
      <c r="E250" s="28" t="s">
        <v>176</v>
      </c>
      <c r="F250" s="36" t="s">
        <v>176</v>
      </c>
      <c r="G250" s="575">
        <v>17900</v>
      </c>
      <c r="H250" s="96">
        <v>0</v>
      </c>
      <c r="I250" s="577">
        <v>0</v>
      </c>
      <c r="J250" s="95">
        <v>0</v>
      </c>
      <c r="K250" s="602">
        <v>0</v>
      </c>
      <c r="L250" s="605">
        <v>0</v>
      </c>
      <c r="M250" s="385">
        <v>7000</v>
      </c>
      <c r="N250" s="387">
        <v>-7000</v>
      </c>
      <c r="O250" s="387">
        <f t="shared" si="51"/>
        <v>0</v>
      </c>
      <c r="P250" s="59">
        <v>7900</v>
      </c>
      <c r="Q250" s="59">
        <v>10000</v>
      </c>
      <c r="R250" s="604">
        <v>0</v>
      </c>
      <c r="S250" s="91">
        <v>0</v>
      </c>
      <c r="T250" s="603">
        <v>0</v>
      </c>
      <c r="U250" s="577">
        <v>0</v>
      </c>
      <c r="V250" s="602">
        <v>0</v>
      </c>
      <c r="W250" s="602">
        <v>0</v>
      </c>
      <c r="X250" s="602">
        <v>0</v>
      </c>
      <c r="Y250" s="605">
        <v>0</v>
      </c>
      <c r="Z250" s="36" t="s">
        <v>908</v>
      </c>
      <c r="AA250" s="57" t="s">
        <v>7</v>
      </c>
      <c r="AB250" s="88" t="s">
        <v>242</v>
      </c>
      <c r="AC250" s="57" t="s">
        <v>58</v>
      </c>
      <c r="AD250" s="927">
        <v>1</v>
      </c>
      <c r="AE250" s="878" t="s">
        <v>125</v>
      </c>
      <c r="AF250" s="878" t="s">
        <v>510</v>
      </c>
    </row>
    <row r="251" spans="1:32" ht="26.4" outlineLevel="1" x14ac:dyDescent="0.25">
      <c r="A251" s="284" t="s">
        <v>574</v>
      </c>
      <c r="B251" s="371" t="s">
        <v>54</v>
      </c>
      <c r="C251" s="611" t="s">
        <v>575</v>
      </c>
      <c r="D251" s="35" t="s">
        <v>664</v>
      </c>
      <c r="E251" s="47" t="s">
        <v>170</v>
      </c>
      <c r="F251" s="35" t="s">
        <v>170</v>
      </c>
      <c r="G251" s="542">
        <v>1600</v>
      </c>
      <c r="H251" s="612">
        <v>0</v>
      </c>
      <c r="I251" s="544">
        <v>0</v>
      </c>
      <c r="J251" s="613">
        <v>0</v>
      </c>
      <c r="K251" s="614">
        <v>0</v>
      </c>
      <c r="L251" s="615">
        <f t="shared" ref="L251:L267" si="52">O251-K251</f>
        <v>0</v>
      </c>
      <c r="M251" s="130">
        <v>1600</v>
      </c>
      <c r="N251" s="547">
        <v>-1600</v>
      </c>
      <c r="O251" s="547">
        <f t="shared" si="51"/>
        <v>0</v>
      </c>
      <c r="P251" s="56">
        <v>1600</v>
      </c>
      <c r="Q251" s="87">
        <v>0</v>
      </c>
      <c r="R251" s="665">
        <v>0</v>
      </c>
      <c r="S251" s="666">
        <v>0</v>
      </c>
      <c r="T251" s="87">
        <v>0</v>
      </c>
      <c r="U251" s="544">
        <v>0</v>
      </c>
      <c r="V251" s="614">
        <v>0</v>
      </c>
      <c r="W251" s="614">
        <v>0</v>
      </c>
      <c r="X251" s="614">
        <v>0</v>
      </c>
      <c r="Y251" s="615">
        <v>0</v>
      </c>
      <c r="Z251" s="35" t="s">
        <v>909</v>
      </c>
      <c r="AA251" s="34" t="s">
        <v>7</v>
      </c>
      <c r="AB251" s="548" t="s">
        <v>673</v>
      </c>
      <c r="AC251" s="573" t="s">
        <v>58</v>
      </c>
      <c r="AD251" s="926">
        <v>1</v>
      </c>
      <c r="AE251" s="869" t="s">
        <v>119</v>
      </c>
      <c r="AF251" s="869" t="s">
        <v>576</v>
      </c>
    </row>
    <row r="252" spans="1:32" ht="27" outlineLevel="1" thickBot="1" x14ac:dyDescent="0.3">
      <c r="A252" s="218" t="s">
        <v>577</v>
      </c>
      <c r="B252" s="218" t="s">
        <v>1056</v>
      </c>
      <c r="C252" s="1801" t="s">
        <v>578</v>
      </c>
      <c r="D252" s="1300" t="s">
        <v>664</v>
      </c>
      <c r="E252" s="1301" t="s">
        <v>170</v>
      </c>
      <c r="F252" s="1300" t="s">
        <v>170</v>
      </c>
      <c r="G252" s="1806">
        <f>1500-73.156</f>
        <v>1426.8440000000001</v>
      </c>
      <c r="H252" s="1214">
        <v>0</v>
      </c>
      <c r="I252" s="1613">
        <v>0</v>
      </c>
      <c r="J252" s="1644">
        <v>1426.8440000000001</v>
      </c>
      <c r="K252" s="1614">
        <v>0</v>
      </c>
      <c r="L252" s="1615">
        <f t="shared" si="52"/>
        <v>1426.8440000000001</v>
      </c>
      <c r="M252" s="1102">
        <v>1500</v>
      </c>
      <c r="N252" s="1807">
        <v>-73.156000000000006</v>
      </c>
      <c r="O252" s="1464">
        <f t="shared" si="51"/>
        <v>1426.8440000000001</v>
      </c>
      <c r="P252" s="1608">
        <v>0</v>
      </c>
      <c r="Q252" s="1803">
        <v>0</v>
      </c>
      <c r="R252" s="1610">
        <v>0</v>
      </c>
      <c r="S252" s="1611">
        <v>0</v>
      </c>
      <c r="T252" s="1803">
        <v>0</v>
      </c>
      <c r="U252" s="1613">
        <v>0</v>
      </c>
      <c r="V252" s="1614">
        <v>0</v>
      </c>
      <c r="W252" s="1614">
        <v>0</v>
      </c>
      <c r="X252" s="1614">
        <v>0</v>
      </c>
      <c r="Y252" s="1615">
        <v>0</v>
      </c>
      <c r="Z252" s="1300" t="s">
        <v>581</v>
      </c>
      <c r="AA252" s="1300" t="s">
        <v>62</v>
      </c>
      <c r="AB252" s="1618" t="s">
        <v>242</v>
      </c>
      <c r="AC252" s="1804" t="s">
        <v>59</v>
      </c>
      <c r="AD252" s="1805">
        <v>1</v>
      </c>
      <c r="AE252" s="1302" t="s">
        <v>119</v>
      </c>
      <c r="AF252" s="1302" t="s">
        <v>576</v>
      </c>
    </row>
    <row r="253" spans="1:32" ht="31.2" outlineLevel="1" x14ac:dyDescent="0.25">
      <c r="A253" s="618" t="s">
        <v>675</v>
      </c>
      <c r="B253" s="618" t="s">
        <v>54</v>
      </c>
      <c r="C253" s="619" t="s">
        <v>910</v>
      </c>
      <c r="D253" s="350" t="s">
        <v>782</v>
      </c>
      <c r="E253" s="204" t="s">
        <v>95</v>
      </c>
      <c r="F253" s="350" t="s">
        <v>95</v>
      </c>
      <c r="G253" s="620">
        <f>3500+220</f>
        <v>3720</v>
      </c>
      <c r="H253" s="621">
        <v>0</v>
      </c>
      <c r="I253" s="622">
        <v>0</v>
      </c>
      <c r="J253" s="623">
        <v>0</v>
      </c>
      <c r="K253" s="624">
        <v>0</v>
      </c>
      <c r="L253" s="625">
        <f t="shared" si="52"/>
        <v>3720</v>
      </c>
      <c r="M253" s="626">
        <v>3500</v>
      </c>
      <c r="N253" s="627">
        <v>220</v>
      </c>
      <c r="O253" s="627">
        <f t="shared" si="51"/>
        <v>3720</v>
      </c>
      <c r="P253" s="628">
        <v>0</v>
      </c>
      <c r="Q253" s="629">
        <v>0</v>
      </c>
      <c r="R253" s="675">
        <v>0</v>
      </c>
      <c r="S253" s="676">
        <v>0</v>
      </c>
      <c r="T253" s="629">
        <v>0</v>
      </c>
      <c r="U253" s="622">
        <v>0</v>
      </c>
      <c r="V253" s="624">
        <v>0</v>
      </c>
      <c r="W253" s="624">
        <v>0</v>
      </c>
      <c r="X253" s="624">
        <v>0</v>
      </c>
      <c r="Y253" s="625">
        <v>0</v>
      </c>
      <c r="Z253" s="350" t="s">
        <v>911</v>
      </c>
      <c r="AA253" s="630" t="s">
        <v>9</v>
      </c>
      <c r="AB253" s="631" t="s">
        <v>242</v>
      </c>
      <c r="AC253" s="632" t="s">
        <v>59</v>
      </c>
      <c r="AD253" s="931">
        <v>1</v>
      </c>
      <c r="AE253" s="476" t="s">
        <v>139</v>
      </c>
      <c r="AF253" s="476" t="s">
        <v>383</v>
      </c>
    </row>
    <row r="254" spans="1:32" ht="26.4" outlineLevel="1" x14ac:dyDescent="0.25">
      <c r="A254" s="633" t="s">
        <v>676</v>
      </c>
      <c r="B254" s="633" t="s">
        <v>893</v>
      </c>
      <c r="C254" s="1456" t="s">
        <v>677</v>
      </c>
      <c r="D254" s="1355" t="s">
        <v>782</v>
      </c>
      <c r="E254" s="1356" t="s">
        <v>237</v>
      </c>
      <c r="F254" s="1457" t="s">
        <v>237</v>
      </c>
      <c r="G254" s="1458">
        <f>600+291.099</f>
        <v>891.09899999999993</v>
      </c>
      <c r="H254" s="1280">
        <v>0</v>
      </c>
      <c r="I254" s="1281">
        <v>0</v>
      </c>
      <c r="J254" s="1282">
        <v>600</v>
      </c>
      <c r="K254" s="1283">
        <v>0</v>
      </c>
      <c r="L254" s="1165">
        <f t="shared" si="52"/>
        <v>891.09899999999993</v>
      </c>
      <c r="M254" s="1153">
        <v>600</v>
      </c>
      <c r="N254" s="634">
        <v>291.09899999999999</v>
      </c>
      <c r="O254" s="1535">
        <f t="shared" si="51"/>
        <v>891.09899999999993</v>
      </c>
      <c r="P254" s="1723">
        <v>0</v>
      </c>
      <c r="Q254" s="1724">
        <v>0</v>
      </c>
      <c r="R254" s="1725">
        <v>0</v>
      </c>
      <c r="S254" s="1726">
        <v>0</v>
      </c>
      <c r="T254" s="1724">
        <v>0</v>
      </c>
      <c r="U254" s="1281">
        <v>0</v>
      </c>
      <c r="V254" s="1283">
        <v>0</v>
      </c>
      <c r="W254" s="1283">
        <v>0</v>
      </c>
      <c r="X254" s="1283">
        <v>0</v>
      </c>
      <c r="Y254" s="1639">
        <v>0</v>
      </c>
      <c r="Z254" s="1457" t="s">
        <v>945</v>
      </c>
      <c r="AA254" s="1727" t="s">
        <v>5</v>
      </c>
      <c r="AB254" s="1728" t="s">
        <v>582</v>
      </c>
      <c r="AC254" s="1729" t="s">
        <v>58</v>
      </c>
      <c r="AD254" s="1730">
        <v>1</v>
      </c>
      <c r="AE254" s="1534" t="s">
        <v>135</v>
      </c>
      <c r="AF254" s="1534" t="s">
        <v>678</v>
      </c>
    </row>
    <row r="255" spans="1:32" ht="26.4" outlineLevel="1" x14ac:dyDescent="0.25">
      <c r="A255" s="216" t="s">
        <v>679</v>
      </c>
      <c r="B255" s="216" t="s">
        <v>845</v>
      </c>
      <c r="C255" s="1387" t="s">
        <v>680</v>
      </c>
      <c r="D255" s="1333" t="s">
        <v>782</v>
      </c>
      <c r="E255" s="1391" t="s">
        <v>175</v>
      </c>
      <c r="F255" s="1390" t="s">
        <v>175</v>
      </c>
      <c r="G255" s="1392">
        <f>2500-539.70725</f>
        <v>1960.2927500000001</v>
      </c>
      <c r="H255" s="1194">
        <v>0</v>
      </c>
      <c r="I255" s="1269">
        <v>0</v>
      </c>
      <c r="J255" s="1278">
        <v>1960.2927500000001</v>
      </c>
      <c r="K255" s="1271">
        <v>0</v>
      </c>
      <c r="L255" s="1279">
        <f t="shared" si="52"/>
        <v>1960.2927500000001</v>
      </c>
      <c r="M255" s="1160">
        <v>2500</v>
      </c>
      <c r="N255" s="217">
        <v>-539.70725000000004</v>
      </c>
      <c r="O255" s="1396">
        <f t="shared" si="51"/>
        <v>1960.2927500000001</v>
      </c>
      <c r="P255" s="1659">
        <v>0</v>
      </c>
      <c r="Q255" s="1717">
        <v>0</v>
      </c>
      <c r="R255" s="1675">
        <v>0</v>
      </c>
      <c r="S255" s="1676">
        <v>0</v>
      </c>
      <c r="T255" s="1717">
        <v>0</v>
      </c>
      <c r="U255" s="1269">
        <v>0</v>
      </c>
      <c r="V255" s="1271">
        <v>0</v>
      </c>
      <c r="W255" s="1271">
        <v>0</v>
      </c>
      <c r="X255" s="1271">
        <v>0</v>
      </c>
      <c r="Y255" s="1279">
        <v>0</v>
      </c>
      <c r="Z255" s="1390" t="s">
        <v>912</v>
      </c>
      <c r="AA255" s="1677" t="s">
        <v>62</v>
      </c>
      <c r="AB255" s="1679" t="s">
        <v>284</v>
      </c>
      <c r="AC255" s="1718" t="s">
        <v>59</v>
      </c>
      <c r="AD255" s="1719">
        <v>1</v>
      </c>
      <c r="AE255" s="1434" t="s">
        <v>127</v>
      </c>
      <c r="AF255" s="1434" t="s">
        <v>383</v>
      </c>
    </row>
    <row r="256" spans="1:32" ht="26.4" outlineLevel="1" x14ac:dyDescent="0.25">
      <c r="A256" s="382" t="s">
        <v>681</v>
      </c>
      <c r="B256" s="382" t="s">
        <v>54</v>
      </c>
      <c r="C256" s="609" t="s">
        <v>682</v>
      </c>
      <c r="D256" s="35" t="s">
        <v>782</v>
      </c>
      <c r="E256" s="28" t="s">
        <v>35</v>
      </c>
      <c r="F256" s="36" t="s">
        <v>35</v>
      </c>
      <c r="G256" s="575">
        <v>6720</v>
      </c>
      <c r="H256" s="96">
        <v>0</v>
      </c>
      <c r="I256" s="577">
        <v>0</v>
      </c>
      <c r="J256" s="95">
        <v>0</v>
      </c>
      <c r="K256" s="602">
        <v>0</v>
      </c>
      <c r="L256" s="605">
        <f t="shared" si="52"/>
        <v>2720</v>
      </c>
      <c r="M256" s="385">
        <v>6720</v>
      </c>
      <c r="N256" s="387">
        <v>-4000</v>
      </c>
      <c r="O256" s="387">
        <f t="shared" si="51"/>
        <v>2720</v>
      </c>
      <c r="P256" s="59">
        <v>4000</v>
      </c>
      <c r="Q256" s="603">
        <v>0</v>
      </c>
      <c r="R256" s="604">
        <v>0</v>
      </c>
      <c r="S256" s="91">
        <v>0</v>
      </c>
      <c r="T256" s="603">
        <v>0</v>
      </c>
      <c r="U256" s="577">
        <v>0</v>
      </c>
      <c r="V256" s="602">
        <v>0</v>
      </c>
      <c r="W256" s="602">
        <v>0</v>
      </c>
      <c r="X256" s="602">
        <v>0</v>
      </c>
      <c r="Y256" s="605">
        <v>0</v>
      </c>
      <c r="Z256" s="36" t="s">
        <v>913</v>
      </c>
      <c r="AA256" s="57" t="s">
        <v>9</v>
      </c>
      <c r="AB256" s="580" t="s">
        <v>674</v>
      </c>
      <c r="AC256" s="581" t="s">
        <v>59</v>
      </c>
      <c r="AD256" s="927">
        <v>1</v>
      </c>
      <c r="AE256" s="878" t="s">
        <v>123</v>
      </c>
      <c r="AF256" s="878" t="s">
        <v>383</v>
      </c>
    </row>
    <row r="257" spans="1:32" ht="27" outlineLevel="1" thickBot="1" x14ac:dyDescent="0.3">
      <c r="A257" s="218" t="s">
        <v>683</v>
      </c>
      <c r="B257" s="218" t="s">
        <v>54</v>
      </c>
      <c r="C257" s="1801" t="s">
        <v>290</v>
      </c>
      <c r="D257" s="1802" t="s">
        <v>782</v>
      </c>
      <c r="E257" s="1301" t="s">
        <v>39</v>
      </c>
      <c r="F257" s="1300" t="s">
        <v>39</v>
      </c>
      <c r="G257" s="1806">
        <f>850-300 - 17.488+0.00053</f>
        <v>532.51252999999997</v>
      </c>
      <c r="H257" s="1214">
        <v>0</v>
      </c>
      <c r="I257" s="1613">
        <v>0</v>
      </c>
      <c r="J257" s="1644">
        <v>532.51252999999997</v>
      </c>
      <c r="K257" s="1614">
        <v>0</v>
      </c>
      <c r="L257" s="1615">
        <f t="shared" si="52"/>
        <v>532.51252999999997</v>
      </c>
      <c r="M257" s="1102">
        <v>550</v>
      </c>
      <c r="N257" s="1807">
        <f>-17.488+0.00053</f>
        <v>-17.487469999999998</v>
      </c>
      <c r="O257" s="1464">
        <f t="shared" si="51"/>
        <v>532.51252999999997</v>
      </c>
      <c r="P257" s="1608">
        <v>0</v>
      </c>
      <c r="Q257" s="1803">
        <v>0</v>
      </c>
      <c r="R257" s="1610">
        <v>0</v>
      </c>
      <c r="S257" s="1611">
        <v>0</v>
      </c>
      <c r="T257" s="1803">
        <v>0</v>
      </c>
      <c r="U257" s="1613">
        <v>0</v>
      </c>
      <c r="V257" s="1614">
        <v>0</v>
      </c>
      <c r="W257" s="1614">
        <v>0</v>
      </c>
      <c r="X257" s="1614">
        <v>0</v>
      </c>
      <c r="Y257" s="1615">
        <v>0</v>
      </c>
      <c r="Z257" s="1300" t="s">
        <v>914</v>
      </c>
      <c r="AA257" s="1300" t="s">
        <v>62</v>
      </c>
      <c r="AB257" s="1618" t="s">
        <v>330</v>
      </c>
      <c r="AC257" s="1804" t="s">
        <v>59</v>
      </c>
      <c r="AD257" s="1805">
        <v>1</v>
      </c>
      <c r="AE257" s="1302" t="s">
        <v>130</v>
      </c>
      <c r="AF257" s="1302" t="s">
        <v>467</v>
      </c>
    </row>
    <row r="258" spans="1:32" ht="39.6" outlineLevel="1" x14ac:dyDescent="0.25">
      <c r="A258" s="371" t="s">
        <v>792</v>
      </c>
      <c r="B258" s="371" t="s">
        <v>54</v>
      </c>
      <c r="C258" s="611" t="s">
        <v>793</v>
      </c>
      <c r="D258" s="35" t="s">
        <v>826</v>
      </c>
      <c r="E258" s="47" t="s">
        <v>50</v>
      </c>
      <c r="F258" s="35" t="s">
        <v>50</v>
      </c>
      <c r="G258" s="542">
        <v>1650</v>
      </c>
      <c r="H258" s="612">
        <v>0</v>
      </c>
      <c r="I258" s="544">
        <v>0</v>
      </c>
      <c r="J258" s="613">
        <v>0</v>
      </c>
      <c r="K258" s="614">
        <v>0</v>
      </c>
      <c r="L258" s="635">
        <f t="shared" si="52"/>
        <v>1650</v>
      </c>
      <c r="M258" s="130">
        <v>800</v>
      </c>
      <c r="N258" s="547">
        <v>850</v>
      </c>
      <c r="O258" s="547">
        <f t="shared" si="51"/>
        <v>1650</v>
      </c>
      <c r="P258" s="56">
        <v>0</v>
      </c>
      <c r="Q258" s="87">
        <v>0</v>
      </c>
      <c r="R258" s="665">
        <v>0</v>
      </c>
      <c r="S258" s="666">
        <v>0</v>
      </c>
      <c r="T258" s="87">
        <v>0</v>
      </c>
      <c r="U258" s="544">
        <v>0</v>
      </c>
      <c r="V258" s="614">
        <v>0</v>
      </c>
      <c r="W258" s="614">
        <v>0</v>
      </c>
      <c r="X258" s="614">
        <v>0</v>
      </c>
      <c r="Y258" s="615">
        <v>0</v>
      </c>
      <c r="Z258" s="1082" t="s">
        <v>915</v>
      </c>
      <c r="AA258" s="34" t="s">
        <v>9</v>
      </c>
      <c r="AB258" s="548" t="s">
        <v>582</v>
      </c>
      <c r="AC258" s="573" t="s">
        <v>59</v>
      </c>
      <c r="AD258" s="926">
        <v>1</v>
      </c>
      <c r="AE258" s="869" t="s">
        <v>128</v>
      </c>
      <c r="AF258" s="869" t="s">
        <v>467</v>
      </c>
    </row>
    <row r="259" spans="1:32" ht="39.6" outlineLevel="1" x14ac:dyDescent="0.25">
      <c r="A259" s="382" t="s">
        <v>794</v>
      </c>
      <c r="B259" s="382" t="s">
        <v>867</v>
      </c>
      <c r="C259" s="609" t="s">
        <v>196</v>
      </c>
      <c r="D259" s="35" t="s">
        <v>826</v>
      </c>
      <c r="E259" s="28" t="s">
        <v>50</v>
      </c>
      <c r="F259" s="36" t="s">
        <v>50</v>
      </c>
      <c r="G259" s="575">
        <v>3360</v>
      </c>
      <c r="H259" s="96">
        <v>0</v>
      </c>
      <c r="I259" s="577">
        <v>0</v>
      </c>
      <c r="J259" s="95">
        <v>1287.7170000000001</v>
      </c>
      <c r="K259" s="602">
        <v>0</v>
      </c>
      <c r="L259" s="578">
        <f t="shared" si="52"/>
        <v>3360</v>
      </c>
      <c r="M259" s="385">
        <v>1680</v>
      </c>
      <c r="N259" s="387">
        <v>1680</v>
      </c>
      <c r="O259" s="387">
        <f t="shared" si="51"/>
        <v>3360</v>
      </c>
      <c r="P259" s="59">
        <v>0</v>
      </c>
      <c r="Q259" s="603">
        <v>0</v>
      </c>
      <c r="R259" s="604">
        <v>0</v>
      </c>
      <c r="S259" s="91">
        <v>0</v>
      </c>
      <c r="T259" s="603">
        <v>0</v>
      </c>
      <c r="U259" s="577">
        <v>0</v>
      </c>
      <c r="V259" s="602">
        <v>0</v>
      </c>
      <c r="W259" s="602">
        <v>0</v>
      </c>
      <c r="X259" s="602">
        <v>0</v>
      </c>
      <c r="Y259" s="605">
        <v>0</v>
      </c>
      <c r="Z259" s="1082" t="s">
        <v>916</v>
      </c>
      <c r="AA259" s="57" t="s">
        <v>9</v>
      </c>
      <c r="AB259" s="580" t="s">
        <v>242</v>
      </c>
      <c r="AC259" s="581" t="s">
        <v>59</v>
      </c>
      <c r="AD259" s="927">
        <v>1</v>
      </c>
      <c r="AE259" s="878" t="s">
        <v>128</v>
      </c>
      <c r="AF259" s="878" t="s">
        <v>467</v>
      </c>
    </row>
    <row r="260" spans="1:32" ht="27" outlineLevel="1" thickBot="1" x14ac:dyDescent="0.3">
      <c r="A260" s="477" t="s">
        <v>811</v>
      </c>
      <c r="B260" s="477" t="s">
        <v>814</v>
      </c>
      <c r="C260" s="636" t="s">
        <v>812</v>
      </c>
      <c r="D260" s="51" t="s">
        <v>826</v>
      </c>
      <c r="E260" s="64" t="s">
        <v>4</v>
      </c>
      <c r="F260" s="64" t="s">
        <v>813</v>
      </c>
      <c r="G260" s="589">
        <v>24000</v>
      </c>
      <c r="H260" s="638">
        <v>0</v>
      </c>
      <c r="I260" s="591">
        <v>0</v>
      </c>
      <c r="J260" s="639">
        <v>0</v>
      </c>
      <c r="K260" s="640">
        <v>0</v>
      </c>
      <c r="L260" s="592">
        <f t="shared" si="52"/>
        <v>0</v>
      </c>
      <c r="M260" s="597">
        <v>24000</v>
      </c>
      <c r="N260" s="106">
        <v>-24000</v>
      </c>
      <c r="O260" s="106">
        <f t="shared" si="51"/>
        <v>0</v>
      </c>
      <c r="P260" s="66">
        <v>24000</v>
      </c>
      <c r="Q260" s="642">
        <v>0</v>
      </c>
      <c r="R260" s="674">
        <v>0</v>
      </c>
      <c r="S260" s="101">
        <v>0</v>
      </c>
      <c r="T260" s="642">
        <v>0</v>
      </c>
      <c r="U260" s="591">
        <v>0</v>
      </c>
      <c r="V260" s="640">
        <v>0</v>
      </c>
      <c r="W260" s="640">
        <v>0</v>
      </c>
      <c r="X260" s="677">
        <v>0</v>
      </c>
      <c r="Y260" s="641">
        <v>0</v>
      </c>
      <c r="Z260" s="643" t="s">
        <v>917</v>
      </c>
      <c r="AA260" s="135" t="s">
        <v>7</v>
      </c>
      <c r="AB260" s="599" t="s">
        <v>242</v>
      </c>
      <c r="AC260" s="600" t="s">
        <v>58</v>
      </c>
      <c r="AD260" s="930">
        <v>1</v>
      </c>
      <c r="AE260" s="905" t="s">
        <v>126</v>
      </c>
      <c r="AF260" s="905" t="s">
        <v>383</v>
      </c>
    </row>
    <row r="261" spans="1:32" outlineLevel="1" x14ac:dyDescent="0.25">
      <c r="A261" s="644" t="s">
        <v>918</v>
      </c>
      <c r="B261" s="644" t="s">
        <v>54</v>
      </c>
      <c r="C261" s="645" t="s">
        <v>919</v>
      </c>
      <c r="D261" s="29" t="s">
        <v>54</v>
      </c>
      <c r="E261" s="29" t="s">
        <v>170</v>
      </c>
      <c r="F261" s="29" t="s">
        <v>170</v>
      </c>
      <c r="G261" s="646">
        <v>17000</v>
      </c>
      <c r="H261" s="647">
        <v>0</v>
      </c>
      <c r="I261" s="651">
        <v>0</v>
      </c>
      <c r="J261" s="653">
        <v>0</v>
      </c>
      <c r="K261" s="651">
        <v>0</v>
      </c>
      <c r="L261" s="653">
        <f t="shared" si="52"/>
        <v>600</v>
      </c>
      <c r="M261" s="648">
        <v>0</v>
      </c>
      <c r="N261" s="649">
        <v>600</v>
      </c>
      <c r="O261" s="649">
        <f t="shared" si="51"/>
        <v>600</v>
      </c>
      <c r="P261" s="650">
        <v>1000</v>
      </c>
      <c r="Q261" s="650">
        <v>15400</v>
      </c>
      <c r="R261" s="680">
        <v>0</v>
      </c>
      <c r="S261" s="190">
        <v>0</v>
      </c>
      <c r="T261" s="103">
        <v>0</v>
      </c>
      <c r="U261" s="651">
        <v>0</v>
      </c>
      <c r="V261" s="652">
        <v>0</v>
      </c>
      <c r="W261" s="652">
        <v>0</v>
      </c>
      <c r="X261" s="652">
        <v>0</v>
      </c>
      <c r="Y261" s="653">
        <v>0</v>
      </c>
      <c r="Z261" s="29" t="s">
        <v>946</v>
      </c>
      <c r="AA261" s="194" t="s">
        <v>5</v>
      </c>
      <c r="AB261" s="287" t="s">
        <v>719</v>
      </c>
      <c r="AC261" s="194" t="s">
        <v>58</v>
      </c>
      <c r="AD261" s="929">
        <v>1</v>
      </c>
      <c r="AE261" s="899" t="s">
        <v>119</v>
      </c>
      <c r="AF261" s="899" t="s">
        <v>467</v>
      </c>
    </row>
    <row r="262" spans="1:32" outlineLevel="1" x14ac:dyDescent="0.25">
      <c r="A262" s="654" t="s">
        <v>920</v>
      </c>
      <c r="B262" s="654" t="s">
        <v>54</v>
      </c>
      <c r="C262" s="260" t="s">
        <v>921</v>
      </c>
      <c r="D262" s="27" t="s">
        <v>54</v>
      </c>
      <c r="E262" s="27" t="s">
        <v>922</v>
      </c>
      <c r="F262" s="27" t="s">
        <v>922</v>
      </c>
      <c r="G262" s="655">
        <v>8000</v>
      </c>
      <c r="H262" s="656">
        <v>0</v>
      </c>
      <c r="I262" s="660">
        <v>0</v>
      </c>
      <c r="J262" s="662">
        <v>0</v>
      </c>
      <c r="K262" s="660">
        <v>0</v>
      </c>
      <c r="L262" s="662">
        <f t="shared" si="52"/>
        <v>0</v>
      </c>
      <c r="M262" s="657">
        <v>0</v>
      </c>
      <c r="N262" s="658">
        <v>0</v>
      </c>
      <c r="O262" s="658">
        <f t="shared" si="51"/>
        <v>0</v>
      </c>
      <c r="P262" s="60">
        <v>8000</v>
      </c>
      <c r="Q262" s="60">
        <v>0</v>
      </c>
      <c r="R262" s="680">
        <v>0</v>
      </c>
      <c r="S262" s="190">
        <v>0</v>
      </c>
      <c r="T262" s="678">
        <v>0</v>
      </c>
      <c r="U262" s="660">
        <v>0</v>
      </c>
      <c r="V262" s="661">
        <v>0</v>
      </c>
      <c r="W262" s="661">
        <v>0</v>
      </c>
      <c r="X262" s="661">
        <v>0</v>
      </c>
      <c r="Y262" s="662">
        <v>0</v>
      </c>
      <c r="Z262" s="27" t="s">
        <v>923</v>
      </c>
      <c r="AA262" s="196" t="s">
        <v>7</v>
      </c>
      <c r="AB262" s="659" t="s">
        <v>719</v>
      </c>
      <c r="AC262" s="196" t="s">
        <v>58</v>
      </c>
      <c r="AD262" s="928">
        <v>1</v>
      </c>
      <c r="AE262" s="899" t="s">
        <v>130</v>
      </c>
      <c r="AF262" s="885" t="s">
        <v>467</v>
      </c>
    </row>
    <row r="263" spans="1:32" ht="39.6" outlineLevel="1" x14ac:dyDescent="0.25">
      <c r="A263" s="654" t="s">
        <v>924</v>
      </c>
      <c r="B263" s="654" t="s">
        <v>54</v>
      </c>
      <c r="C263" s="260" t="s">
        <v>925</v>
      </c>
      <c r="D263" s="27" t="s">
        <v>54</v>
      </c>
      <c r="E263" s="27" t="s">
        <v>4</v>
      </c>
      <c r="F263" s="27" t="s">
        <v>96</v>
      </c>
      <c r="G263" s="655">
        <v>14000</v>
      </c>
      <c r="H263" s="656">
        <v>0</v>
      </c>
      <c r="I263" s="660">
        <v>0</v>
      </c>
      <c r="J263" s="662">
        <v>0</v>
      </c>
      <c r="K263" s="660">
        <v>0</v>
      </c>
      <c r="L263" s="662">
        <f t="shared" si="52"/>
        <v>0</v>
      </c>
      <c r="M263" s="657">
        <v>0</v>
      </c>
      <c r="N263" s="658">
        <v>0</v>
      </c>
      <c r="O263" s="658">
        <f t="shared" si="51"/>
        <v>0</v>
      </c>
      <c r="P263" s="60">
        <v>14000</v>
      </c>
      <c r="Q263" s="60">
        <v>0</v>
      </c>
      <c r="R263" s="680">
        <v>0</v>
      </c>
      <c r="S263" s="190">
        <v>0</v>
      </c>
      <c r="T263" s="678">
        <v>0</v>
      </c>
      <c r="U263" s="660">
        <v>0</v>
      </c>
      <c r="V263" s="661">
        <v>0</v>
      </c>
      <c r="W263" s="661">
        <v>0</v>
      </c>
      <c r="X263" s="661">
        <v>0</v>
      </c>
      <c r="Y263" s="662">
        <v>0</v>
      </c>
      <c r="Z263" s="27" t="s">
        <v>947</v>
      </c>
      <c r="AA263" s="196" t="s">
        <v>5</v>
      </c>
      <c r="AB263" s="659" t="s">
        <v>330</v>
      </c>
      <c r="AC263" s="196" t="s">
        <v>58</v>
      </c>
      <c r="AD263" s="928">
        <v>1</v>
      </c>
      <c r="AE263" s="899" t="s">
        <v>119</v>
      </c>
      <c r="AF263" s="885" t="s">
        <v>467</v>
      </c>
    </row>
    <row r="264" spans="1:32" ht="31.2" outlineLevel="1" x14ac:dyDescent="0.25">
      <c r="A264" s="654" t="s">
        <v>924</v>
      </c>
      <c r="B264" s="654" t="s">
        <v>940</v>
      </c>
      <c r="C264" s="260" t="s">
        <v>926</v>
      </c>
      <c r="D264" s="27" t="s">
        <v>54</v>
      </c>
      <c r="E264" s="27" t="s">
        <v>927</v>
      </c>
      <c r="F264" s="27" t="s">
        <v>927</v>
      </c>
      <c r="G264" s="655">
        <v>7500</v>
      </c>
      <c r="H264" s="656">
        <v>0</v>
      </c>
      <c r="I264" s="660">
        <v>0</v>
      </c>
      <c r="J264" s="662">
        <v>0</v>
      </c>
      <c r="K264" s="660">
        <v>0</v>
      </c>
      <c r="L264" s="662">
        <f t="shared" si="52"/>
        <v>2000</v>
      </c>
      <c r="M264" s="657">
        <v>0</v>
      </c>
      <c r="N264" s="658">
        <v>2000</v>
      </c>
      <c r="O264" s="658">
        <f t="shared" si="51"/>
        <v>2000</v>
      </c>
      <c r="P264" s="60">
        <v>5500</v>
      </c>
      <c r="Q264" s="60">
        <v>0</v>
      </c>
      <c r="R264" s="680">
        <v>0</v>
      </c>
      <c r="S264" s="190">
        <v>0</v>
      </c>
      <c r="T264" s="678">
        <v>0</v>
      </c>
      <c r="U264" s="660">
        <v>0</v>
      </c>
      <c r="V264" s="661">
        <v>0</v>
      </c>
      <c r="W264" s="661">
        <v>0</v>
      </c>
      <c r="X264" s="661">
        <v>0</v>
      </c>
      <c r="Y264" s="662">
        <v>0</v>
      </c>
      <c r="Z264" s="27" t="s">
        <v>948</v>
      </c>
      <c r="AA264" s="196" t="s">
        <v>9</v>
      </c>
      <c r="AB264" s="659" t="s">
        <v>286</v>
      </c>
      <c r="AC264" s="196" t="s">
        <v>59</v>
      </c>
      <c r="AD264" s="928">
        <v>1</v>
      </c>
      <c r="AE264" s="899" t="s">
        <v>127</v>
      </c>
      <c r="AF264" s="885" t="s">
        <v>467</v>
      </c>
    </row>
    <row r="265" spans="1:32" outlineLevel="1" x14ac:dyDescent="0.25">
      <c r="A265" s="654" t="s">
        <v>928</v>
      </c>
      <c r="B265" s="654" t="s">
        <v>54</v>
      </c>
      <c r="C265" s="260" t="s">
        <v>929</v>
      </c>
      <c r="D265" s="27" t="s">
        <v>54</v>
      </c>
      <c r="E265" s="27" t="s">
        <v>930</v>
      </c>
      <c r="F265" s="27" t="s">
        <v>96</v>
      </c>
      <c r="G265" s="655">
        <v>2455</v>
      </c>
      <c r="H265" s="656">
        <v>0</v>
      </c>
      <c r="I265" s="660">
        <v>0</v>
      </c>
      <c r="J265" s="662">
        <v>0</v>
      </c>
      <c r="K265" s="660">
        <v>0</v>
      </c>
      <c r="L265" s="662">
        <f t="shared" si="52"/>
        <v>2455</v>
      </c>
      <c r="M265" s="657">
        <v>0</v>
      </c>
      <c r="N265" s="658">
        <v>2455</v>
      </c>
      <c r="O265" s="658">
        <f t="shared" si="51"/>
        <v>2455</v>
      </c>
      <c r="P265" s="60">
        <v>0</v>
      </c>
      <c r="Q265" s="60">
        <v>0</v>
      </c>
      <c r="R265" s="680">
        <v>0</v>
      </c>
      <c r="S265" s="190">
        <v>0</v>
      </c>
      <c r="T265" s="678">
        <v>0</v>
      </c>
      <c r="U265" s="660">
        <v>0</v>
      </c>
      <c r="V265" s="661">
        <v>0</v>
      </c>
      <c r="W265" s="661">
        <v>0</v>
      </c>
      <c r="X265" s="661">
        <v>0</v>
      </c>
      <c r="Y265" s="662">
        <v>0</v>
      </c>
      <c r="Z265" s="27" t="s">
        <v>931</v>
      </c>
      <c r="AA265" s="196" t="s">
        <v>5</v>
      </c>
      <c r="AB265" s="659" t="s">
        <v>330</v>
      </c>
      <c r="AC265" s="196" t="s">
        <v>58</v>
      </c>
      <c r="AD265" s="928">
        <v>1</v>
      </c>
      <c r="AE265" s="899" t="s">
        <v>119</v>
      </c>
      <c r="AF265" s="885" t="s">
        <v>467</v>
      </c>
    </row>
    <row r="266" spans="1:32" outlineLevel="1" x14ac:dyDescent="0.25">
      <c r="A266" s="654" t="s">
        <v>932</v>
      </c>
      <c r="B266" s="654" t="s">
        <v>54</v>
      </c>
      <c r="C266" s="260" t="s">
        <v>933</v>
      </c>
      <c r="D266" s="27" t="s">
        <v>54</v>
      </c>
      <c r="E266" s="27" t="s">
        <v>96</v>
      </c>
      <c r="F266" s="27" t="s">
        <v>96</v>
      </c>
      <c r="G266" s="655">
        <v>3304</v>
      </c>
      <c r="H266" s="656">
        <v>0</v>
      </c>
      <c r="I266" s="660">
        <v>0</v>
      </c>
      <c r="J266" s="662">
        <v>0</v>
      </c>
      <c r="K266" s="660">
        <v>0</v>
      </c>
      <c r="L266" s="662">
        <f t="shared" si="52"/>
        <v>3304</v>
      </c>
      <c r="M266" s="657">
        <v>0</v>
      </c>
      <c r="N266" s="658">
        <v>3304</v>
      </c>
      <c r="O266" s="658">
        <f t="shared" si="51"/>
        <v>3304</v>
      </c>
      <c r="P266" s="60">
        <v>0</v>
      </c>
      <c r="Q266" s="60">
        <v>0</v>
      </c>
      <c r="R266" s="680">
        <v>0</v>
      </c>
      <c r="S266" s="190">
        <v>0</v>
      </c>
      <c r="T266" s="678">
        <v>0</v>
      </c>
      <c r="U266" s="660">
        <v>0</v>
      </c>
      <c r="V266" s="661">
        <v>0</v>
      </c>
      <c r="W266" s="661">
        <v>0</v>
      </c>
      <c r="X266" s="661">
        <v>0</v>
      </c>
      <c r="Y266" s="662">
        <v>0</v>
      </c>
      <c r="Z266" s="27" t="s">
        <v>934</v>
      </c>
      <c r="AA266" s="196" t="s">
        <v>5</v>
      </c>
      <c r="AB266" s="659" t="s">
        <v>330</v>
      </c>
      <c r="AC266" s="196" t="s">
        <v>58</v>
      </c>
      <c r="AD266" s="928">
        <v>1</v>
      </c>
      <c r="AE266" s="899" t="s">
        <v>119</v>
      </c>
      <c r="AF266" s="885" t="s">
        <v>467</v>
      </c>
    </row>
    <row r="267" spans="1:32" outlineLevel="1" x14ac:dyDescent="0.25">
      <c r="A267" s="654" t="s">
        <v>935</v>
      </c>
      <c r="B267" s="654" t="s">
        <v>54</v>
      </c>
      <c r="C267" s="260" t="s">
        <v>936</v>
      </c>
      <c r="D267" s="27" t="s">
        <v>54</v>
      </c>
      <c r="E267" s="27" t="s">
        <v>37</v>
      </c>
      <c r="F267" s="27" t="s">
        <v>37</v>
      </c>
      <c r="G267" s="655">
        <v>1680</v>
      </c>
      <c r="H267" s="656">
        <v>0</v>
      </c>
      <c r="I267" s="660">
        <v>0</v>
      </c>
      <c r="J267" s="662">
        <v>0</v>
      </c>
      <c r="K267" s="660">
        <v>0</v>
      </c>
      <c r="L267" s="662">
        <f t="shared" si="52"/>
        <v>1680</v>
      </c>
      <c r="M267" s="657">
        <v>0</v>
      </c>
      <c r="N267" s="658">
        <v>1680</v>
      </c>
      <c r="O267" s="658">
        <f t="shared" si="51"/>
        <v>1680</v>
      </c>
      <c r="P267" s="60">
        <v>0</v>
      </c>
      <c r="Q267" s="60">
        <v>0</v>
      </c>
      <c r="R267" s="680">
        <v>0</v>
      </c>
      <c r="S267" s="190">
        <v>0</v>
      </c>
      <c r="T267" s="678">
        <v>0</v>
      </c>
      <c r="U267" s="660">
        <v>0</v>
      </c>
      <c r="V267" s="661">
        <v>0</v>
      </c>
      <c r="W267" s="661">
        <v>0</v>
      </c>
      <c r="X267" s="661">
        <v>0</v>
      </c>
      <c r="Y267" s="662">
        <v>0</v>
      </c>
      <c r="Z267" s="27" t="s">
        <v>937</v>
      </c>
      <c r="AA267" s="196" t="s">
        <v>5</v>
      </c>
      <c r="AB267" s="659" t="s">
        <v>330</v>
      </c>
      <c r="AC267" s="196" t="s">
        <v>58</v>
      </c>
      <c r="AD267" s="928">
        <v>1</v>
      </c>
      <c r="AE267" s="899" t="s">
        <v>136</v>
      </c>
      <c r="AF267" s="885" t="s">
        <v>467</v>
      </c>
    </row>
    <row r="268" spans="1:32" ht="16.2" outlineLevel="1" thickBot="1" x14ac:dyDescent="0.3">
      <c r="A268" s="73" t="s">
        <v>63</v>
      </c>
      <c r="B268" s="73" t="s">
        <v>63</v>
      </c>
      <c r="C268" s="1293" t="s">
        <v>63</v>
      </c>
      <c r="D268" s="73" t="s">
        <v>63</v>
      </c>
      <c r="E268" s="1307" t="s">
        <v>63</v>
      </c>
      <c r="F268" s="73" t="s">
        <v>63</v>
      </c>
      <c r="G268" s="73" t="s">
        <v>63</v>
      </c>
      <c r="H268" s="33" t="s">
        <v>63</v>
      </c>
      <c r="I268" s="115" t="s">
        <v>63</v>
      </c>
      <c r="J268" s="74" t="s">
        <v>63</v>
      </c>
      <c r="K268" s="81" t="s">
        <v>63</v>
      </c>
      <c r="L268" s="349" t="s">
        <v>63</v>
      </c>
      <c r="M268" s="33" t="s">
        <v>63</v>
      </c>
      <c r="N268" s="33" t="s">
        <v>63</v>
      </c>
      <c r="O268" s="33" t="s">
        <v>63</v>
      </c>
      <c r="P268" s="73" t="s">
        <v>63</v>
      </c>
      <c r="Q268" s="1307" t="s">
        <v>63</v>
      </c>
      <c r="R268" s="1731" t="s">
        <v>63</v>
      </c>
      <c r="S268" s="1732" t="s">
        <v>63</v>
      </c>
      <c r="T268" s="1307" t="s">
        <v>63</v>
      </c>
      <c r="U268" s="1731" t="s">
        <v>63</v>
      </c>
      <c r="V268" s="1733" t="s">
        <v>63</v>
      </c>
      <c r="W268" s="1733" t="s">
        <v>63</v>
      </c>
      <c r="X268" s="1732" t="s">
        <v>63</v>
      </c>
      <c r="Y268" s="1385" t="s">
        <v>63</v>
      </c>
      <c r="Z268" s="73" t="s">
        <v>63</v>
      </c>
      <c r="AA268" s="1704" t="s">
        <v>63</v>
      </c>
      <c r="AB268" s="1734" t="s">
        <v>63</v>
      </c>
      <c r="AC268" s="1734" t="s">
        <v>63</v>
      </c>
      <c r="AD268" s="1704" t="s">
        <v>63</v>
      </c>
      <c r="AE268" s="1704" t="s">
        <v>63</v>
      </c>
      <c r="AF268" s="1704" t="s">
        <v>63</v>
      </c>
    </row>
    <row r="269" spans="1:32" s="888" customFormat="1" ht="27" thickBot="1" x14ac:dyDescent="0.3">
      <c r="A269" s="243" t="s">
        <v>70</v>
      </c>
      <c r="B269" s="244"/>
      <c r="C269" s="247"/>
      <c r="D269" s="7" t="s">
        <v>52</v>
      </c>
      <c r="E269" s="332" t="s">
        <v>52</v>
      </c>
      <c r="F269" s="311" t="s">
        <v>52</v>
      </c>
      <c r="G269" s="160">
        <f t="shared" ref="G269:N269" si="53">SUM(G234:G268)</f>
        <v>557420.24642999994</v>
      </c>
      <c r="H269" s="160">
        <f t="shared" si="53"/>
        <v>13873.937460000001</v>
      </c>
      <c r="I269" s="160">
        <f t="shared" si="53"/>
        <v>1357.6187599999998</v>
      </c>
      <c r="J269" s="160">
        <f t="shared" si="53"/>
        <v>8115.3557300000011</v>
      </c>
      <c r="K269" s="160">
        <f t="shared" si="53"/>
        <v>1357.6187599999998</v>
      </c>
      <c r="L269" s="160">
        <f t="shared" si="53"/>
        <v>68574.821209999936</v>
      </c>
      <c r="M269" s="160">
        <f t="shared" si="53"/>
        <v>162933.56253999996</v>
      </c>
      <c r="N269" s="160">
        <f t="shared" si="53"/>
        <v>-93001.122569999992</v>
      </c>
      <c r="O269" s="160">
        <f t="shared" ref="O269:O273" si="54">M269+N269</f>
        <v>69932.439969999963</v>
      </c>
      <c r="P269" s="160">
        <f t="shared" ref="P269:Y269" si="55">SUM(P234:P268)</f>
        <v>365330.56900000002</v>
      </c>
      <c r="Q269" s="160">
        <f t="shared" si="55"/>
        <v>106283.3</v>
      </c>
      <c r="R269" s="160">
        <f t="shared" si="55"/>
        <v>2000</v>
      </c>
      <c r="S269" s="160">
        <f t="shared" si="55"/>
        <v>0</v>
      </c>
      <c r="T269" s="161">
        <f t="shared" si="55"/>
        <v>0</v>
      </c>
      <c r="U269" s="160">
        <f t="shared" si="55"/>
        <v>255045</v>
      </c>
      <c r="V269" s="160">
        <f t="shared" si="55"/>
        <v>3155.6150000000002</v>
      </c>
      <c r="W269" s="160">
        <f t="shared" si="55"/>
        <v>3.0249999999999999</v>
      </c>
      <c r="X269" s="160">
        <f t="shared" si="55"/>
        <v>35138.890000000007</v>
      </c>
      <c r="Y269" s="160">
        <f t="shared" si="55"/>
        <v>216750.495</v>
      </c>
      <c r="Z269" s="305" t="s">
        <v>865</v>
      </c>
      <c r="AA269" s="7" t="s">
        <v>52</v>
      </c>
      <c r="AB269" s="313" t="s">
        <v>52</v>
      </c>
      <c r="AC269" s="9" t="s">
        <v>52</v>
      </c>
      <c r="AD269" s="9" t="s">
        <v>52</v>
      </c>
      <c r="AE269" s="311" t="s">
        <v>52</v>
      </c>
      <c r="AF269" s="311" t="s">
        <v>52</v>
      </c>
    </row>
    <row r="270" spans="1:32" ht="16.2" outlineLevel="1" thickBot="1" x14ac:dyDescent="0.3">
      <c r="A270" s="17" t="s">
        <v>63</v>
      </c>
      <c r="B270" s="240" t="s">
        <v>63</v>
      </c>
      <c r="C270" s="1459" t="s">
        <v>63</v>
      </c>
      <c r="D270" s="73" t="s">
        <v>63</v>
      </c>
      <c r="E270" s="158" t="s">
        <v>63</v>
      </c>
      <c r="F270" s="191" t="s">
        <v>63</v>
      </c>
      <c r="G270" s="893" t="s">
        <v>63</v>
      </c>
      <c r="H270" s="1104" t="s">
        <v>63</v>
      </c>
      <c r="I270" s="1105" t="s">
        <v>63</v>
      </c>
      <c r="J270" s="1106" t="s">
        <v>63</v>
      </c>
      <c r="K270" s="1107" t="s">
        <v>63</v>
      </c>
      <c r="L270" s="1108" t="s">
        <v>63</v>
      </c>
      <c r="M270" s="33" t="s">
        <v>63</v>
      </c>
      <c r="N270" s="74" t="s">
        <v>63</v>
      </c>
      <c r="O270" s="1103" t="s">
        <v>63</v>
      </c>
      <c r="P270" s="33" t="s">
        <v>63</v>
      </c>
      <c r="Q270" s="78" t="s">
        <v>63</v>
      </c>
      <c r="R270" s="115" t="s">
        <v>63</v>
      </c>
      <c r="S270" s="79" t="s">
        <v>63</v>
      </c>
      <c r="T270" s="78" t="s">
        <v>63</v>
      </c>
      <c r="U270" s="115" t="s">
        <v>63</v>
      </c>
      <c r="V270" s="81" t="s">
        <v>63</v>
      </c>
      <c r="W270" s="81" t="s">
        <v>63</v>
      </c>
      <c r="X270" s="1474" t="s">
        <v>63</v>
      </c>
      <c r="Y270" s="74" t="s">
        <v>63</v>
      </c>
      <c r="Z270" s="33" t="s">
        <v>63</v>
      </c>
      <c r="AA270" s="73" t="s">
        <v>63</v>
      </c>
      <c r="AB270" s="18" t="s">
        <v>63</v>
      </c>
      <c r="AC270" s="17" t="s">
        <v>63</v>
      </c>
      <c r="AD270" s="17" t="s">
        <v>63</v>
      </c>
      <c r="AE270" s="191" t="s">
        <v>63</v>
      </c>
      <c r="AF270" s="191" t="s">
        <v>63</v>
      </c>
    </row>
    <row r="271" spans="1:32" s="888" customFormat="1" ht="18" thickBot="1" x14ac:dyDescent="0.3">
      <c r="A271" s="243" t="s">
        <v>116</v>
      </c>
      <c r="B271" s="244"/>
      <c r="C271" s="247"/>
      <c r="D271" s="7" t="s">
        <v>52</v>
      </c>
      <c r="E271" s="332" t="s">
        <v>52</v>
      </c>
      <c r="F271" s="311" t="s">
        <v>52</v>
      </c>
      <c r="G271" s="160">
        <f t="shared" ref="G271:N271" si="56">SUM(G270:G270)</f>
        <v>0</v>
      </c>
      <c r="H271" s="160">
        <f t="shared" si="56"/>
        <v>0</v>
      </c>
      <c r="I271" s="160">
        <f t="shared" si="56"/>
        <v>0</v>
      </c>
      <c r="J271" s="160">
        <f t="shared" si="56"/>
        <v>0</v>
      </c>
      <c r="K271" s="160">
        <f t="shared" si="56"/>
        <v>0</v>
      </c>
      <c r="L271" s="160">
        <f t="shared" si="56"/>
        <v>0</v>
      </c>
      <c r="M271" s="160">
        <f t="shared" si="56"/>
        <v>0</v>
      </c>
      <c r="N271" s="160">
        <f t="shared" si="56"/>
        <v>0</v>
      </c>
      <c r="O271" s="160">
        <f t="shared" si="54"/>
        <v>0</v>
      </c>
      <c r="P271" s="160">
        <f t="shared" ref="P271:Y271" si="57">SUM(P270:P270)</f>
        <v>0</v>
      </c>
      <c r="Q271" s="160">
        <f t="shared" si="57"/>
        <v>0</v>
      </c>
      <c r="R271" s="160">
        <f t="shared" si="57"/>
        <v>0</v>
      </c>
      <c r="S271" s="160">
        <f t="shared" si="57"/>
        <v>0</v>
      </c>
      <c r="T271" s="161">
        <f t="shared" si="57"/>
        <v>0</v>
      </c>
      <c r="U271" s="160">
        <f t="shared" si="57"/>
        <v>0</v>
      </c>
      <c r="V271" s="160">
        <f t="shared" si="57"/>
        <v>0</v>
      </c>
      <c r="W271" s="160">
        <f t="shared" si="57"/>
        <v>0</v>
      </c>
      <c r="X271" s="160">
        <f t="shared" si="57"/>
        <v>0</v>
      </c>
      <c r="Y271" s="160">
        <f t="shared" si="57"/>
        <v>0</v>
      </c>
      <c r="Z271" s="7" t="s">
        <v>669</v>
      </c>
      <c r="AA271" s="8" t="s">
        <v>52</v>
      </c>
      <c r="AB271" s="312" t="s">
        <v>52</v>
      </c>
      <c r="AC271" s="11" t="s">
        <v>52</v>
      </c>
      <c r="AD271" s="11" t="s">
        <v>52</v>
      </c>
      <c r="AE271" s="310" t="s">
        <v>52</v>
      </c>
      <c r="AF271" s="310" t="s">
        <v>52</v>
      </c>
    </row>
    <row r="272" spans="1:32" ht="27" outlineLevel="1" thickBot="1" x14ac:dyDescent="0.3">
      <c r="A272" s="392" t="s">
        <v>177</v>
      </c>
      <c r="B272" s="393" t="s">
        <v>228</v>
      </c>
      <c r="C272" s="394" t="s">
        <v>178</v>
      </c>
      <c r="D272" s="62" t="s">
        <v>562</v>
      </c>
      <c r="E272" s="900" t="s">
        <v>13</v>
      </c>
      <c r="F272" s="253" t="s">
        <v>13</v>
      </c>
      <c r="G272" s="395">
        <v>700</v>
      </c>
      <c r="H272" s="397">
        <v>31.883500000000002</v>
      </c>
      <c r="I272" s="932">
        <v>0</v>
      </c>
      <c r="J272" s="933">
        <v>0</v>
      </c>
      <c r="K272" s="398">
        <v>0</v>
      </c>
      <c r="L272" s="399">
        <f t="shared" ref="L272:L276" si="58">O272-K272</f>
        <v>0.11649999999997362</v>
      </c>
      <c r="M272" s="402">
        <v>668.11649999999997</v>
      </c>
      <c r="N272" s="403">
        <v>-668</v>
      </c>
      <c r="O272" s="403">
        <f t="shared" si="54"/>
        <v>0.11649999999997362</v>
      </c>
      <c r="P272" s="404">
        <v>668</v>
      </c>
      <c r="Q272" s="404">
        <v>0</v>
      </c>
      <c r="R272" s="400">
        <v>0</v>
      </c>
      <c r="S272" s="446">
        <v>0</v>
      </c>
      <c r="T272" s="445">
        <v>0</v>
      </c>
      <c r="U272" s="405">
        <v>0</v>
      </c>
      <c r="V272" s="405">
        <v>0</v>
      </c>
      <c r="W272" s="405">
        <v>0</v>
      </c>
      <c r="X272" s="400">
        <v>0</v>
      </c>
      <c r="Y272" s="399">
        <v>0</v>
      </c>
      <c r="Z272" s="138" t="s">
        <v>886</v>
      </c>
      <c r="AA272" s="138" t="s">
        <v>7</v>
      </c>
      <c r="AB272" s="362" t="s">
        <v>393</v>
      </c>
      <c r="AC272" s="177" t="s">
        <v>59</v>
      </c>
      <c r="AD272" s="362" t="s">
        <v>69</v>
      </c>
      <c r="AE272" s="890" t="s">
        <v>340</v>
      </c>
      <c r="AF272" s="890" t="s">
        <v>375</v>
      </c>
    </row>
    <row r="273" spans="1:32" ht="31.8" outlineLevel="1" thickBot="1" x14ac:dyDescent="0.3">
      <c r="A273" s="406" t="s">
        <v>388</v>
      </c>
      <c r="B273" s="407" t="s">
        <v>661</v>
      </c>
      <c r="C273" s="408" t="s">
        <v>389</v>
      </c>
      <c r="D273" s="409" t="s">
        <v>551</v>
      </c>
      <c r="E273" s="410" t="s">
        <v>14</v>
      </c>
      <c r="F273" s="409" t="s">
        <v>14</v>
      </c>
      <c r="G273" s="1077">
        <f>431.29119+110.0979</f>
        <v>541.38909000000001</v>
      </c>
      <c r="H273" s="411">
        <v>431.29118999999997</v>
      </c>
      <c r="I273" s="412">
        <v>0</v>
      </c>
      <c r="J273" s="413">
        <v>110.0979</v>
      </c>
      <c r="K273" s="414">
        <v>0</v>
      </c>
      <c r="L273" s="415">
        <f t="shared" si="58"/>
        <v>110.0979</v>
      </c>
      <c r="M273" s="416">
        <v>113.70881</v>
      </c>
      <c r="N273" s="411">
        <f>-113.70881+110.0979</f>
        <v>-3.6109100000000041</v>
      </c>
      <c r="O273" s="411">
        <f t="shared" si="54"/>
        <v>110.0979</v>
      </c>
      <c r="P273" s="417">
        <v>0</v>
      </c>
      <c r="Q273" s="417">
        <v>0</v>
      </c>
      <c r="R273" s="418">
        <v>0</v>
      </c>
      <c r="S273" s="420">
        <v>0</v>
      </c>
      <c r="T273" s="421">
        <v>0</v>
      </c>
      <c r="U273" s="418">
        <v>0</v>
      </c>
      <c r="V273" s="418">
        <v>0</v>
      </c>
      <c r="W273" s="419">
        <v>0</v>
      </c>
      <c r="X273" s="420">
        <v>0</v>
      </c>
      <c r="Y273" s="421">
        <v>0</v>
      </c>
      <c r="Z273" s="409" t="s">
        <v>876</v>
      </c>
      <c r="AA273" s="1079" t="s">
        <v>62</v>
      </c>
      <c r="AB273" s="422" t="s">
        <v>284</v>
      </c>
      <c r="AC273" s="409" t="s">
        <v>59</v>
      </c>
      <c r="AD273" s="410">
        <v>2</v>
      </c>
      <c r="AE273" s="409" t="s">
        <v>54</v>
      </c>
      <c r="AF273" s="409" t="s">
        <v>374</v>
      </c>
    </row>
    <row r="274" spans="1:32" outlineLevel="1" x14ac:dyDescent="0.25">
      <c r="A274" s="423" t="s">
        <v>877</v>
      </c>
      <c r="B274" s="424" t="s">
        <v>54</v>
      </c>
      <c r="C274" s="425" t="s">
        <v>878</v>
      </c>
      <c r="D274" s="113" t="s">
        <v>54</v>
      </c>
      <c r="E274" s="934" t="s">
        <v>14</v>
      </c>
      <c r="F274" s="935" t="s">
        <v>14</v>
      </c>
      <c r="G274" s="426">
        <v>700</v>
      </c>
      <c r="H274" s="427">
        <v>0</v>
      </c>
      <c r="I274" s="432">
        <v>0</v>
      </c>
      <c r="J274" s="428">
        <v>0</v>
      </c>
      <c r="K274" s="432">
        <v>0</v>
      </c>
      <c r="L274" s="428">
        <f t="shared" si="58"/>
        <v>0</v>
      </c>
      <c r="M274" s="429">
        <v>0</v>
      </c>
      <c r="N274" s="427">
        <v>0</v>
      </c>
      <c r="O274" s="427">
        <f t="shared" ref="O274:O276" si="59">M274+N274</f>
        <v>0</v>
      </c>
      <c r="P274" s="429">
        <v>700</v>
      </c>
      <c r="Q274" s="430">
        <v>0</v>
      </c>
      <c r="R274" s="430">
        <v>0</v>
      </c>
      <c r="S274" s="433">
        <v>0</v>
      </c>
      <c r="T274" s="428">
        <v>0</v>
      </c>
      <c r="U274" s="432">
        <v>0</v>
      </c>
      <c r="V274" s="433">
        <v>0</v>
      </c>
      <c r="W274" s="433">
        <v>0</v>
      </c>
      <c r="X274" s="433">
        <v>0</v>
      </c>
      <c r="Y274" s="431">
        <v>0</v>
      </c>
      <c r="Z274" s="29" t="s">
        <v>883</v>
      </c>
      <c r="AA274" s="29" t="s">
        <v>7</v>
      </c>
      <c r="AB274" s="1742" t="s">
        <v>755</v>
      </c>
      <c r="AC274" s="113" t="s">
        <v>58</v>
      </c>
      <c r="AD274" s="316">
        <v>2</v>
      </c>
      <c r="AE274" s="113" t="s">
        <v>54</v>
      </c>
      <c r="AF274" s="113" t="s">
        <v>374</v>
      </c>
    </row>
    <row r="275" spans="1:32" outlineLevel="1" x14ac:dyDescent="0.25">
      <c r="A275" s="434" t="s">
        <v>879</v>
      </c>
      <c r="B275" s="435" t="s">
        <v>54</v>
      </c>
      <c r="C275" s="436" t="s">
        <v>880</v>
      </c>
      <c r="D275" s="280" t="s">
        <v>54</v>
      </c>
      <c r="E275" s="936" t="s">
        <v>14</v>
      </c>
      <c r="F275" s="937" t="s">
        <v>14</v>
      </c>
      <c r="G275" s="437">
        <v>2420</v>
      </c>
      <c r="H275" s="438">
        <v>0</v>
      </c>
      <c r="I275" s="439">
        <v>0</v>
      </c>
      <c r="J275" s="440">
        <v>0</v>
      </c>
      <c r="K275" s="439">
        <v>0</v>
      </c>
      <c r="L275" s="440">
        <f t="shared" si="58"/>
        <v>0</v>
      </c>
      <c r="M275" s="441">
        <v>0</v>
      </c>
      <c r="N275" s="438">
        <v>0</v>
      </c>
      <c r="O275" s="438">
        <f t="shared" si="59"/>
        <v>0</v>
      </c>
      <c r="P275" s="441">
        <v>2420</v>
      </c>
      <c r="Q275" s="442">
        <v>0</v>
      </c>
      <c r="R275" s="442">
        <v>0</v>
      </c>
      <c r="S275" s="444">
        <v>0</v>
      </c>
      <c r="T275" s="440">
        <v>0</v>
      </c>
      <c r="U275" s="439">
        <v>0</v>
      </c>
      <c r="V275" s="444">
        <v>0</v>
      </c>
      <c r="W275" s="444">
        <v>0</v>
      </c>
      <c r="X275" s="444">
        <v>0</v>
      </c>
      <c r="Y275" s="443">
        <v>0</v>
      </c>
      <c r="Z275" s="27" t="s">
        <v>884</v>
      </c>
      <c r="AA275" s="27" t="s">
        <v>7</v>
      </c>
      <c r="AB275" s="1743" t="s">
        <v>673</v>
      </c>
      <c r="AC275" s="280" t="s">
        <v>58</v>
      </c>
      <c r="AD275" s="363">
        <v>2</v>
      </c>
      <c r="AE275" s="280" t="s">
        <v>54</v>
      </c>
      <c r="AF275" s="280" t="s">
        <v>374</v>
      </c>
    </row>
    <row r="276" spans="1:32" outlineLevel="1" x14ac:dyDescent="0.25">
      <c r="A276" s="434" t="s">
        <v>881</v>
      </c>
      <c r="B276" s="435" t="s">
        <v>54</v>
      </c>
      <c r="C276" s="436" t="s">
        <v>882</v>
      </c>
      <c r="D276" s="280" t="s">
        <v>54</v>
      </c>
      <c r="E276" s="937" t="s">
        <v>13</v>
      </c>
      <c r="F276" s="937" t="s">
        <v>13</v>
      </c>
      <c r="G276" s="437">
        <v>325000</v>
      </c>
      <c r="H276" s="438">
        <v>0</v>
      </c>
      <c r="I276" s="439">
        <v>0</v>
      </c>
      <c r="J276" s="440">
        <v>0</v>
      </c>
      <c r="K276" s="439">
        <v>0</v>
      </c>
      <c r="L276" s="440">
        <f t="shared" si="58"/>
        <v>0</v>
      </c>
      <c r="M276" s="441">
        <v>0</v>
      </c>
      <c r="N276" s="438">
        <v>0</v>
      </c>
      <c r="O276" s="438">
        <f t="shared" si="59"/>
        <v>0</v>
      </c>
      <c r="P276" s="441">
        <v>325000</v>
      </c>
      <c r="Q276" s="442">
        <v>0</v>
      </c>
      <c r="R276" s="442">
        <v>0</v>
      </c>
      <c r="S276" s="444">
        <v>0</v>
      </c>
      <c r="T276" s="440">
        <v>0</v>
      </c>
      <c r="U276" s="439">
        <v>0</v>
      </c>
      <c r="V276" s="444">
        <v>0</v>
      </c>
      <c r="W276" s="444">
        <v>0</v>
      </c>
      <c r="X276" s="444">
        <v>0</v>
      </c>
      <c r="Y276" s="443">
        <v>0</v>
      </c>
      <c r="Z276" s="27" t="s">
        <v>885</v>
      </c>
      <c r="AA276" s="27" t="s">
        <v>7</v>
      </c>
      <c r="AB276" s="1743" t="s">
        <v>755</v>
      </c>
      <c r="AC276" s="280" t="s">
        <v>58</v>
      </c>
      <c r="AD276" s="363">
        <v>2</v>
      </c>
      <c r="AE276" s="280" t="s">
        <v>127</v>
      </c>
      <c r="AF276" s="280" t="s">
        <v>374</v>
      </c>
    </row>
    <row r="277" spans="1:32" ht="16.2" outlineLevel="1" thickBot="1" x14ac:dyDescent="0.3">
      <c r="A277" s="141" t="s">
        <v>63</v>
      </c>
      <c r="B277" s="240" t="s">
        <v>63</v>
      </c>
      <c r="C277" s="245" t="s">
        <v>63</v>
      </c>
      <c r="D277" s="73" t="s">
        <v>63</v>
      </c>
      <c r="E277" s="158" t="s">
        <v>63</v>
      </c>
      <c r="F277" s="191" t="s">
        <v>63</v>
      </c>
      <c r="G277" s="893" t="s">
        <v>63</v>
      </c>
      <c r="H277" s="894" t="s">
        <v>63</v>
      </c>
      <c r="I277" s="895" t="s">
        <v>63</v>
      </c>
      <c r="J277" s="896" t="s">
        <v>63</v>
      </c>
      <c r="K277" s="115" t="s">
        <v>63</v>
      </c>
      <c r="L277" s="74" t="s">
        <v>63</v>
      </c>
      <c r="M277" s="33" t="s">
        <v>63</v>
      </c>
      <c r="N277" s="33" t="s">
        <v>63</v>
      </c>
      <c r="O277" s="147" t="s">
        <v>63</v>
      </c>
      <c r="P277" s="33" t="s">
        <v>63</v>
      </c>
      <c r="Q277" s="117" t="s">
        <v>63</v>
      </c>
      <c r="R277" s="115" t="s">
        <v>63</v>
      </c>
      <c r="S277" s="79" t="s">
        <v>63</v>
      </c>
      <c r="T277" s="78" t="s">
        <v>63</v>
      </c>
      <c r="U277" s="115" t="s">
        <v>63</v>
      </c>
      <c r="V277" s="81" t="s">
        <v>63</v>
      </c>
      <c r="W277" s="81" t="s">
        <v>63</v>
      </c>
      <c r="X277" s="1474" t="s">
        <v>63</v>
      </c>
      <c r="Y277" s="74" t="s">
        <v>63</v>
      </c>
      <c r="Z277" s="73" t="s">
        <v>63</v>
      </c>
      <c r="AA277" s="73" t="s">
        <v>63</v>
      </c>
      <c r="AB277" s="67" t="s">
        <v>63</v>
      </c>
      <c r="AC277" s="18" t="s">
        <v>63</v>
      </c>
      <c r="AD277" s="14" t="s">
        <v>63</v>
      </c>
      <c r="AE277" s="1306" t="s">
        <v>63</v>
      </c>
      <c r="AF277" s="1306" t="s">
        <v>63</v>
      </c>
    </row>
    <row r="278" spans="1:32" s="888" customFormat="1" ht="18" thickBot="1" x14ac:dyDescent="0.3">
      <c r="A278" s="243" t="s">
        <v>115</v>
      </c>
      <c r="B278" s="244"/>
      <c r="C278" s="247"/>
      <c r="D278" s="7" t="s">
        <v>52</v>
      </c>
      <c r="E278" s="311" t="s">
        <v>52</v>
      </c>
      <c r="F278" s="311" t="s">
        <v>52</v>
      </c>
      <c r="G278" s="160">
        <f t="shared" ref="G278:N278" si="60">SUM(G272:G277)</f>
        <v>329361.38909000001</v>
      </c>
      <c r="H278" s="160">
        <f t="shared" si="60"/>
        <v>463.17469</v>
      </c>
      <c r="I278" s="160">
        <f t="shared" si="60"/>
        <v>0</v>
      </c>
      <c r="J278" s="160">
        <f t="shared" si="60"/>
        <v>110.0979</v>
      </c>
      <c r="K278" s="160">
        <f t="shared" si="60"/>
        <v>0</v>
      </c>
      <c r="L278" s="160">
        <f t="shared" si="60"/>
        <v>110.21439999999997</v>
      </c>
      <c r="M278" s="160">
        <f t="shared" si="60"/>
        <v>781.82530999999994</v>
      </c>
      <c r="N278" s="160">
        <f t="shared" si="60"/>
        <v>-671.61090999999999</v>
      </c>
      <c r="O278" s="160">
        <f t="shared" ref="O278" si="61">M278+N278</f>
        <v>110.21439999999996</v>
      </c>
      <c r="P278" s="160">
        <f t="shared" ref="P278:Y278" si="62">SUM(P272:P277)</f>
        <v>328788</v>
      </c>
      <c r="Q278" s="160">
        <f t="shared" si="62"/>
        <v>0</v>
      </c>
      <c r="R278" s="160">
        <f t="shared" si="62"/>
        <v>0</v>
      </c>
      <c r="S278" s="160">
        <f t="shared" si="62"/>
        <v>0</v>
      </c>
      <c r="T278" s="160">
        <f t="shared" si="62"/>
        <v>0</v>
      </c>
      <c r="U278" s="160">
        <f t="shared" si="62"/>
        <v>0</v>
      </c>
      <c r="V278" s="160">
        <f t="shared" si="62"/>
        <v>0</v>
      </c>
      <c r="W278" s="160">
        <f t="shared" si="62"/>
        <v>0</v>
      </c>
      <c r="X278" s="160">
        <f t="shared" si="62"/>
        <v>0</v>
      </c>
      <c r="Y278" s="160">
        <f t="shared" si="62"/>
        <v>0</v>
      </c>
      <c r="Z278" s="7" t="s">
        <v>668</v>
      </c>
      <c r="AA278" s="7" t="s">
        <v>52</v>
      </c>
      <c r="AB278" s="313" t="s">
        <v>52</v>
      </c>
      <c r="AC278" s="313" t="s">
        <v>52</v>
      </c>
      <c r="AD278" s="9" t="s">
        <v>52</v>
      </c>
      <c r="AE278" s="310" t="s">
        <v>52</v>
      </c>
      <c r="AF278" s="310" t="s">
        <v>52</v>
      </c>
    </row>
    <row r="279" spans="1:32" s="888" customFormat="1" outlineLevel="1" x14ac:dyDescent="0.25">
      <c r="A279" s="1765" t="s">
        <v>942</v>
      </c>
      <c r="B279" s="1766" t="s">
        <v>54</v>
      </c>
      <c r="C279" s="1767" t="s">
        <v>943</v>
      </c>
      <c r="D279" s="26" t="s">
        <v>54</v>
      </c>
      <c r="E279" s="1747" t="s">
        <v>827</v>
      </c>
      <c r="F279" s="1748" t="s">
        <v>827</v>
      </c>
      <c r="G279" s="123">
        <v>10890</v>
      </c>
      <c r="H279" s="1768">
        <v>0</v>
      </c>
      <c r="I279" s="1769">
        <v>0</v>
      </c>
      <c r="J279" s="1770">
        <v>0</v>
      </c>
      <c r="K279" s="1064">
        <v>0</v>
      </c>
      <c r="L279" s="1771">
        <v>0</v>
      </c>
      <c r="M279" s="967">
        <v>0</v>
      </c>
      <c r="N279" s="1067">
        <v>0</v>
      </c>
      <c r="O279" s="967">
        <v>0</v>
      </c>
      <c r="P279" s="967">
        <v>10890</v>
      </c>
      <c r="Q279" s="1772">
        <v>0</v>
      </c>
      <c r="R279" s="1064">
        <v>0</v>
      </c>
      <c r="S279" s="1066">
        <v>0</v>
      </c>
      <c r="T279" s="1771">
        <v>0</v>
      </c>
      <c r="U279" s="1064">
        <v>0</v>
      </c>
      <c r="V279" s="1065">
        <v>0</v>
      </c>
      <c r="W279" s="1065">
        <v>0</v>
      </c>
      <c r="X279" s="1066">
        <v>0</v>
      </c>
      <c r="Y279" s="1067">
        <v>0</v>
      </c>
      <c r="Z279" s="26" t="s">
        <v>1069</v>
      </c>
      <c r="AA279" s="26" t="s">
        <v>7</v>
      </c>
      <c r="AB279" s="1773" t="s">
        <v>582</v>
      </c>
      <c r="AC279" s="1774" t="s">
        <v>58</v>
      </c>
      <c r="AD279" s="122" t="s">
        <v>68</v>
      </c>
      <c r="AE279" s="1748" t="s">
        <v>54</v>
      </c>
      <c r="AF279" s="1748" t="s">
        <v>54</v>
      </c>
    </row>
    <row r="280" spans="1:32" s="888" customFormat="1" ht="16.2" outlineLevel="1" thickBot="1" x14ac:dyDescent="0.3">
      <c r="A280" s="141" t="s">
        <v>63</v>
      </c>
      <c r="B280" s="240" t="s">
        <v>63</v>
      </c>
      <c r="C280" s="245" t="s">
        <v>63</v>
      </c>
      <c r="D280" s="73" t="s">
        <v>63</v>
      </c>
      <c r="E280" s="158" t="s">
        <v>63</v>
      </c>
      <c r="F280" s="191" t="s">
        <v>63</v>
      </c>
      <c r="G280" s="893" t="s">
        <v>63</v>
      </c>
      <c r="H280" s="894" t="s">
        <v>63</v>
      </c>
      <c r="I280" s="895" t="s">
        <v>63</v>
      </c>
      <c r="J280" s="896" t="s">
        <v>63</v>
      </c>
      <c r="K280" s="81" t="s">
        <v>63</v>
      </c>
      <c r="L280" s="349" t="s">
        <v>63</v>
      </c>
      <c r="M280" s="33" t="s">
        <v>63</v>
      </c>
      <c r="N280" s="74" t="s">
        <v>63</v>
      </c>
      <c r="O280" s="147" t="s">
        <v>63</v>
      </c>
      <c r="P280" s="33" t="s">
        <v>63</v>
      </c>
      <c r="Q280" s="117" t="s">
        <v>63</v>
      </c>
      <c r="R280" s="115" t="s">
        <v>63</v>
      </c>
      <c r="S280" s="79" t="s">
        <v>63</v>
      </c>
      <c r="T280" s="78" t="s">
        <v>63</v>
      </c>
      <c r="U280" s="115" t="s">
        <v>63</v>
      </c>
      <c r="V280" s="81" t="s">
        <v>63</v>
      </c>
      <c r="W280" s="81" t="s">
        <v>63</v>
      </c>
      <c r="X280" s="79" t="s">
        <v>63</v>
      </c>
      <c r="Y280" s="74" t="s">
        <v>63</v>
      </c>
      <c r="Z280" s="73" t="s">
        <v>63</v>
      </c>
      <c r="AA280" s="73" t="s">
        <v>63</v>
      </c>
      <c r="AB280" s="67" t="s">
        <v>63</v>
      </c>
      <c r="AC280" s="18" t="s">
        <v>63</v>
      </c>
      <c r="AD280" s="17" t="s">
        <v>63</v>
      </c>
      <c r="AE280" s="191" t="s">
        <v>63</v>
      </c>
      <c r="AF280" s="191" t="s">
        <v>63</v>
      </c>
    </row>
    <row r="281" spans="1:32" s="888" customFormat="1" ht="18" thickBot="1" x14ac:dyDescent="0.3">
      <c r="A281" s="243" t="s">
        <v>816</v>
      </c>
      <c r="B281" s="244"/>
      <c r="C281" s="247"/>
      <c r="D281" s="7" t="s">
        <v>52</v>
      </c>
      <c r="E281" s="311" t="s">
        <v>52</v>
      </c>
      <c r="F281" s="311" t="s">
        <v>52</v>
      </c>
      <c r="G281" s="160">
        <f t="shared" ref="G281:Y281" si="63">SUM(G279:G280)</f>
        <v>10890</v>
      </c>
      <c r="H281" s="160">
        <f t="shared" si="63"/>
        <v>0</v>
      </c>
      <c r="I281" s="160">
        <f t="shared" si="63"/>
        <v>0</v>
      </c>
      <c r="J281" s="160">
        <f t="shared" si="63"/>
        <v>0</v>
      </c>
      <c r="K281" s="160">
        <f t="shared" si="63"/>
        <v>0</v>
      </c>
      <c r="L281" s="160">
        <f t="shared" si="63"/>
        <v>0</v>
      </c>
      <c r="M281" s="160">
        <f t="shared" si="63"/>
        <v>0</v>
      </c>
      <c r="N281" s="160">
        <f t="shared" si="63"/>
        <v>0</v>
      </c>
      <c r="O281" s="160">
        <f t="shared" si="63"/>
        <v>0</v>
      </c>
      <c r="P281" s="160">
        <f t="shared" si="63"/>
        <v>10890</v>
      </c>
      <c r="Q281" s="160">
        <f t="shared" si="63"/>
        <v>0</v>
      </c>
      <c r="R281" s="160">
        <f t="shared" si="63"/>
        <v>0</v>
      </c>
      <c r="S281" s="160">
        <f t="shared" si="63"/>
        <v>0</v>
      </c>
      <c r="T281" s="160">
        <f t="shared" si="63"/>
        <v>0</v>
      </c>
      <c r="U281" s="160">
        <f t="shared" si="63"/>
        <v>0</v>
      </c>
      <c r="V281" s="160">
        <f t="shared" si="63"/>
        <v>0</v>
      </c>
      <c r="W281" s="160">
        <f t="shared" si="63"/>
        <v>0</v>
      </c>
      <c r="X281" s="160">
        <f t="shared" si="63"/>
        <v>0</v>
      </c>
      <c r="Y281" s="160">
        <f t="shared" si="63"/>
        <v>0</v>
      </c>
      <c r="Z281" s="7" t="s">
        <v>817</v>
      </c>
      <c r="AA281" s="7" t="s">
        <v>52</v>
      </c>
      <c r="AB281" s="313" t="s">
        <v>52</v>
      </c>
      <c r="AC281" s="313" t="s">
        <v>52</v>
      </c>
      <c r="AD281" s="9" t="s">
        <v>52</v>
      </c>
      <c r="AE281" s="310" t="s">
        <v>52</v>
      </c>
      <c r="AF281" s="310" t="s">
        <v>52</v>
      </c>
    </row>
    <row r="282" spans="1:32" s="888" customFormat="1" ht="27" thickBot="1" x14ac:dyDescent="0.3">
      <c r="A282" s="243" t="s">
        <v>44</v>
      </c>
      <c r="B282" s="244"/>
      <c r="C282" s="247"/>
      <c r="D282" s="1851"/>
      <c r="E282" s="1852"/>
      <c r="F282" s="1852"/>
      <c r="G282" s="160">
        <f t="shared" ref="G282:Y282" si="64">SUM(G13+G21+G127+G167+G213+G217+G219+G225+G229+G233+G269+G271+G278+G281)</f>
        <v>10980409.646879999</v>
      </c>
      <c r="H282" s="160">
        <f t="shared" si="64"/>
        <v>1645806.9081299994</v>
      </c>
      <c r="I282" s="160">
        <f t="shared" si="64"/>
        <v>186452.18191000001</v>
      </c>
      <c r="J282" s="160">
        <f t="shared" si="64"/>
        <v>483623.09061000007</v>
      </c>
      <c r="K282" s="160">
        <f t="shared" si="64"/>
        <v>186452.18191000001</v>
      </c>
      <c r="L282" s="160">
        <f t="shared" si="64"/>
        <v>1335715.27458</v>
      </c>
      <c r="M282" s="160">
        <f t="shared" si="64"/>
        <v>2544896.7266499996</v>
      </c>
      <c r="N282" s="160">
        <f t="shared" si="64"/>
        <v>-1022729.27016</v>
      </c>
      <c r="O282" s="160">
        <f t="shared" si="64"/>
        <v>1522167.4564899998</v>
      </c>
      <c r="P282" s="160">
        <f t="shared" si="64"/>
        <v>4349516.2282599993</v>
      </c>
      <c r="Q282" s="160">
        <f t="shared" si="64"/>
        <v>3386101.2557199993</v>
      </c>
      <c r="R282" s="160">
        <f t="shared" si="64"/>
        <v>5297.79828</v>
      </c>
      <c r="S282" s="160">
        <f t="shared" si="64"/>
        <v>67270</v>
      </c>
      <c r="T282" s="160">
        <f t="shared" si="64"/>
        <v>4250</v>
      </c>
      <c r="U282" s="160">
        <f t="shared" si="64"/>
        <v>298445</v>
      </c>
      <c r="V282" s="160">
        <f t="shared" si="64"/>
        <v>22831.399760000004</v>
      </c>
      <c r="W282" s="160">
        <f t="shared" si="64"/>
        <v>9050.5922100000007</v>
      </c>
      <c r="X282" s="160">
        <f t="shared" si="64"/>
        <v>58863.105240000004</v>
      </c>
      <c r="Y282" s="160">
        <f t="shared" si="64"/>
        <v>216750.495</v>
      </c>
      <c r="Z282" s="10" t="s">
        <v>1162</v>
      </c>
      <c r="AA282" s="10" t="s">
        <v>52</v>
      </c>
      <c r="AB282" s="10" t="s">
        <v>52</v>
      </c>
      <c r="AC282" s="10" t="s">
        <v>52</v>
      </c>
      <c r="AD282" s="10" t="s">
        <v>52</v>
      </c>
      <c r="AE282" s="10" t="s">
        <v>52</v>
      </c>
      <c r="AF282" s="10" t="s">
        <v>52</v>
      </c>
    </row>
    <row r="283" spans="1:32" x14ac:dyDescent="0.25">
      <c r="A283" s="16"/>
      <c r="B283" s="6"/>
      <c r="C283" s="248"/>
      <c r="D283" s="4" t="s">
        <v>40</v>
      </c>
      <c r="E283" s="5" t="s">
        <v>40</v>
      </c>
      <c r="F283" s="5" t="s">
        <v>40</v>
      </c>
      <c r="G283" s="24"/>
      <c r="H283" s="24"/>
      <c r="I283" s="20"/>
      <c r="J283" s="20"/>
      <c r="K283" s="24"/>
      <c r="L283" s="24"/>
      <c r="M283" s="24"/>
      <c r="N283" s="20"/>
      <c r="O283" s="20"/>
      <c r="P283" s="15"/>
      <c r="Q283" s="15"/>
      <c r="R283" s="24"/>
      <c r="S283" s="24"/>
      <c r="T283" s="24"/>
      <c r="U283" s="19"/>
      <c r="V283" s="19"/>
      <c r="W283" s="19"/>
      <c r="X283" s="19"/>
      <c r="Y283" s="19"/>
      <c r="Z283" s="19" t="s">
        <v>40</v>
      </c>
      <c r="AA283" s="4"/>
      <c r="AB283" s="12"/>
      <c r="AC283" s="12"/>
      <c r="AD283" s="12"/>
      <c r="AE283" s="5"/>
      <c r="AF283" s="5" t="s">
        <v>40</v>
      </c>
    </row>
    <row r="284" spans="1:32" x14ac:dyDescent="0.25">
      <c r="A284" s="16"/>
      <c r="B284" s="6"/>
      <c r="C284" s="248"/>
      <c r="D284" s="4"/>
      <c r="E284" s="5"/>
      <c r="F284" s="5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57"/>
      <c r="Z284" s="157"/>
      <c r="AA284" s="12"/>
      <c r="AB284" s="12"/>
      <c r="AC284" s="12"/>
      <c r="AD284" s="12" t="s">
        <v>40</v>
      </c>
      <c r="AE284" s="159"/>
      <c r="AF284" s="159"/>
    </row>
    <row r="285" spans="1:32" ht="16.5" customHeight="1" thickBot="1" x14ac:dyDescent="0.3">
      <c r="A285" s="181"/>
      <c r="B285" s="182"/>
      <c r="C285" s="249"/>
      <c r="D285" s="1"/>
      <c r="E285" s="3"/>
      <c r="F285" s="3"/>
      <c r="G285" s="3"/>
      <c r="H285" s="3"/>
      <c r="I285" s="3"/>
      <c r="J285" s="3"/>
      <c r="K285" s="938"/>
      <c r="L285" s="357"/>
      <c r="M285" s="357"/>
      <c r="N285" s="357"/>
      <c r="O285" s="939"/>
      <c r="P285" s="356"/>
      <c r="Q285" s="356"/>
      <c r="R285" s="356"/>
      <c r="S285" s="356"/>
      <c r="T285" s="906"/>
      <c r="U285" s="906"/>
      <c r="V285" s="906"/>
      <c r="W285" s="906"/>
      <c r="X285" s="358"/>
      <c r="Y285" s="358"/>
      <c r="Z285" s="358"/>
      <c r="AA285" s="12"/>
      <c r="AB285" s="12"/>
      <c r="AC285" s="12"/>
      <c r="AD285" s="12"/>
      <c r="AE285" s="159"/>
      <c r="AF285" s="159" t="s">
        <v>40</v>
      </c>
    </row>
    <row r="286" spans="1:32" ht="28.8" thickBot="1" x14ac:dyDescent="0.3">
      <c r="A286" s="1896" t="s">
        <v>162</v>
      </c>
      <c r="B286" s="1897"/>
      <c r="C286" s="1897"/>
      <c r="D286" s="1897"/>
      <c r="E286" s="1898"/>
      <c r="F286" s="5" t="s">
        <v>40</v>
      </c>
      <c r="G286" s="5" t="s">
        <v>40</v>
      </c>
      <c r="H286" s="5" t="s">
        <v>40</v>
      </c>
      <c r="I286" s="5" t="s">
        <v>40</v>
      </c>
      <c r="J286" s="5" t="s">
        <v>40</v>
      </c>
      <c r="K286" s="938"/>
      <c r="L286" s="357"/>
      <c r="M286" s="357"/>
      <c r="N286" s="357"/>
      <c r="O286" s="939"/>
      <c r="P286" s="356"/>
      <c r="Q286" s="356"/>
      <c r="R286" s="356"/>
      <c r="S286" s="356"/>
      <c r="T286" s="906"/>
      <c r="U286" s="906"/>
      <c r="V286" s="906"/>
      <c r="W286" s="906"/>
      <c r="X286" s="906"/>
      <c r="Y286" s="358"/>
      <c r="Z286" s="358"/>
      <c r="AA286" s="940"/>
      <c r="AB286" s="358"/>
      <c r="AC286" s="356"/>
      <c r="AD286" s="941"/>
      <c r="AE286" s="356"/>
      <c r="AF286" s="356"/>
    </row>
    <row r="287" spans="1:32" ht="10.5" customHeight="1" x14ac:dyDescent="0.25">
      <c r="A287" s="942"/>
      <c r="B287" s="943"/>
      <c r="C287" s="944"/>
      <c r="D287" s="942"/>
      <c r="E287" s="944"/>
      <c r="F287" s="5"/>
      <c r="G287" s="5"/>
      <c r="H287" s="5"/>
      <c r="I287" s="5"/>
      <c r="J287" s="5"/>
      <c r="K287" s="357"/>
      <c r="L287" s="357"/>
      <c r="M287" s="357"/>
      <c r="N287" s="938"/>
      <c r="O287" s="938"/>
      <c r="P287" s="358"/>
      <c r="Q287" s="358"/>
      <c r="R287" s="358"/>
      <c r="S287" s="358"/>
      <c r="T287" s="358"/>
      <c r="U287" s="356"/>
      <c r="V287" s="356"/>
      <c r="W287" s="356"/>
      <c r="X287" s="356"/>
      <c r="Y287" s="356"/>
      <c r="Z287" s="906" t="s">
        <v>40</v>
      </c>
      <c r="AA287" s="940"/>
      <c r="AB287" s="358"/>
      <c r="AC287" s="356"/>
      <c r="AD287" s="941"/>
      <c r="AE287" s="356"/>
      <c r="AF287" s="356"/>
    </row>
    <row r="288" spans="1:32" ht="34.5" customHeight="1" x14ac:dyDescent="0.25">
      <c r="A288" s="1858" t="s">
        <v>252</v>
      </c>
      <c r="B288" s="1859"/>
      <c r="C288" s="1860"/>
      <c r="D288" s="1847" t="s">
        <v>41</v>
      </c>
      <c r="E288" s="1848"/>
      <c r="F288" s="5"/>
      <c r="G288" s="5"/>
      <c r="H288" s="5"/>
      <c r="I288" s="5"/>
      <c r="J288" s="5"/>
      <c r="K288" s="357"/>
      <c r="L288" s="357"/>
      <c r="M288" s="357"/>
      <c r="N288" s="938"/>
      <c r="O288" s="938"/>
      <c r="P288" s="358"/>
      <c r="Q288" s="358"/>
      <c r="R288" s="358"/>
      <c r="S288" s="358"/>
      <c r="T288" s="358"/>
      <c r="U288" s="356"/>
      <c r="V288" s="356"/>
      <c r="W288" s="356"/>
      <c r="X288" s="356"/>
      <c r="Y288" s="356"/>
      <c r="Z288" s="906"/>
      <c r="AA288" s="358"/>
      <c r="AB288" s="358"/>
      <c r="AC288" s="358"/>
      <c r="AD288" s="358"/>
      <c r="AE288" s="940"/>
      <c r="AF288" s="940"/>
    </row>
    <row r="289" spans="1:32" ht="34.5" customHeight="1" x14ac:dyDescent="0.25">
      <c r="A289" s="1849" t="s">
        <v>1158</v>
      </c>
      <c r="B289" s="1861"/>
      <c r="C289" s="1850"/>
      <c r="D289" s="1849" t="s">
        <v>49</v>
      </c>
      <c r="E289" s="1850"/>
      <c r="F289" s="5"/>
      <c r="G289" s="358"/>
      <c r="H289" s="24"/>
      <c r="I289" s="938"/>
      <c r="J289" s="938"/>
      <c r="K289" s="357"/>
      <c r="L289" s="357"/>
      <c r="M289" s="357"/>
      <c r="N289" s="938"/>
      <c r="O289" s="938"/>
      <c r="P289" s="358"/>
      <c r="Q289" s="358"/>
      <c r="R289" s="358"/>
      <c r="S289" s="358"/>
      <c r="T289" s="358"/>
      <c r="U289" s="356"/>
      <c r="V289" s="356"/>
      <c r="W289" s="356"/>
      <c r="X289" s="356"/>
      <c r="Y289" s="356"/>
      <c r="Z289" s="906"/>
      <c r="AA289" s="358"/>
      <c r="AB289" s="358"/>
      <c r="AC289" s="358"/>
      <c r="AD289" s="358"/>
      <c r="AE289" s="940"/>
      <c r="AF289" s="940"/>
    </row>
    <row r="290" spans="1:32" ht="34.5" customHeight="1" x14ac:dyDescent="0.25">
      <c r="A290" s="1853" t="s">
        <v>253</v>
      </c>
      <c r="B290" s="1862"/>
      <c r="C290" s="1854"/>
      <c r="D290" s="1853" t="s">
        <v>42</v>
      </c>
      <c r="E290" s="1854"/>
      <c r="F290" s="5"/>
      <c r="G290" s="358"/>
      <c r="H290" s="24"/>
      <c r="I290" s="938"/>
      <c r="J290" s="938"/>
      <c r="K290" s="357"/>
      <c r="L290" s="357"/>
      <c r="M290" s="357"/>
      <c r="N290" s="938"/>
      <c r="O290" s="938"/>
      <c r="P290" s="358"/>
      <c r="Q290" s="358"/>
      <c r="R290" s="358"/>
      <c r="S290" s="358"/>
      <c r="T290" s="358"/>
      <c r="U290" s="356"/>
      <c r="V290" s="356"/>
      <c r="W290" s="356"/>
      <c r="X290" s="356"/>
      <c r="Y290" s="356"/>
      <c r="Z290" s="906"/>
      <c r="AA290" s="358"/>
      <c r="AB290" s="358"/>
      <c r="AC290" s="358"/>
      <c r="AD290" s="358"/>
      <c r="AE290" s="940"/>
      <c r="AF290" s="940"/>
    </row>
    <row r="291" spans="1:32" ht="34.5" customHeight="1" x14ac:dyDescent="0.25">
      <c r="A291" s="1863" t="s">
        <v>254</v>
      </c>
      <c r="B291" s="1864"/>
      <c r="C291" s="1865"/>
      <c r="D291" s="1863" t="s">
        <v>43</v>
      </c>
      <c r="E291" s="1865"/>
      <c r="F291" s="5"/>
      <c r="AA291" s="358"/>
      <c r="AB291" s="358"/>
      <c r="AC291" s="358"/>
      <c r="AD291" s="358"/>
      <c r="AE291" s="940"/>
      <c r="AF291" s="940"/>
    </row>
    <row r="292" spans="1:32" ht="34.5" customHeight="1" thickBot="1" x14ac:dyDescent="0.3">
      <c r="A292" s="1866" t="s">
        <v>255</v>
      </c>
      <c r="B292" s="1867"/>
      <c r="C292" s="1868"/>
      <c r="D292" s="1866" t="s">
        <v>241</v>
      </c>
      <c r="E292" s="1868"/>
      <c r="F292" s="5"/>
      <c r="K292" s="359" t="s">
        <v>40</v>
      </c>
    </row>
    <row r="293" spans="1:32" ht="34.5" customHeight="1" thickBot="1" x14ac:dyDescent="0.3">
      <c r="A293" s="1764"/>
      <c r="B293" s="1855" t="s">
        <v>423</v>
      </c>
      <c r="C293" s="1857"/>
      <c r="D293" s="1855" t="s">
        <v>424</v>
      </c>
      <c r="E293" s="1857"/>
      <c r="F293" s="5"/>
    </row>
    <row r="294" spans="1:32" ht="34.5" customHeight="1" thickBot="1" x14ac:dyDescent="0.3">
      <c r="A294" s="1855" t="s">
        <v>114</v>
      </c>
      <c r="B294" s="1856"/>
      <c r="C294" s="1856"/>
      <c r="D294" s="1856"/>
      <c r="E294" s="1857"/>
      <c r="F294" s="5"/>
    </row>
    <row r="295" spans="1:32" x14ac:dyDescent="0.3">
      <c r="F295" s="946"/>
    </row>
  </sheetData>
  <autoFilter ref="A4:AF294" xr:uid="{F92670EA-993D-4B2C-AC58-B0074C08E99A}"/>
  <mergeCells count="37">
    <mergeCell ref="Q2:Q3"/>
    <mergeCell ref="G2:G3"/>
    <mergeCell ref="H2:H3"/>
    <mergeCell ref="I2:J2"/>
    <mergeCell ref="K2:L2"/>
    <mergeCell ref="M2:O2"/>
    <mergeCell ref="P2:P3"/>
    <mergeCell ref="U2:Y2"/>
    <mergeCell ref="AF2:AF3"/>
    <mergeCell ref="AC2:AC3"/>
    <mergeCell ref="AA2:AA3"/>
    <mergeCell ref="R2:T2"/>
    <mergeCell ref="AB2:AB3"/>
    <mergeCell ref="Z2:Z3"/>
    <mergeCell ref="AD2:AD3"/>
    <mergeCell ref="AE2:AE3"/>
    <mergeCell ref="A294:E294"/>
    <mergeCell ref="A288:C288"/>
    <mergeCell ref="A289:C289"/>
    <mergeCell ref="A290:C290"/>
    <mergeCell ref="A291:C291"/>
    <mergeCell ref="A292:C292"/>
    <mergeCell ref="B293:C293"/>
    <mergeCell ref="D293:E293"/>
    <mergeCell ref="D291:E291"/>
    <mergeCell ref="D292:E292"/>
    <mergeCell ref="F2:F3"/>
    <mergeCell ref="D288:E288"/>
    <mergeCell ref="D289:E289"/>
    <mergeCell ref="D282:F282"/>
    <mergeCell ref="D290:E290"/>
    <mergeCell ref="A286:E286"/>
    <mergeCell ref="A2:A3"/>
    <mergeCell ref="B2:B3"/>
    <mergeCell ref="C2:C3"/>
    <mergeCell ref="D2:D3"/>
    <mergeCell ref="E2:E3"/>
  </mergeCells>
  <phoneticPr fontId="34" type="noConversion"/>
  <pageMargins left="0.25" right="0.25" top="0.75" bottom="0.75" header="0.3" footer="0.3"/>
  <pageSetup paperSize="9" scale="17" fitToHeight="0" orientation="portrait" verticalDpi="0" r:id="rId1"/>
  <headerFooter>
    <oddFooter>&amp;Ltisk &amp;D&amp;T&amp;Rstr.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AKTUÁLNÍ ZI</vt:lpstr>
      <vt:lpstr>'AKTUÁLNÍ ZI'!Názvy_tisku</vt:lpstr>
      <vt:lpstr>'AKTUÁLNÍ ZI'!Oblast_tisku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2025-12-09T06:55:51Z</dcterms:modified>
</cp:coreProperties>
</file>